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departamento Gestion de la nformacion\2018\LE 2018\"/>
    </mc:Choice>
  </mc:AlternateContent>
  <xr:revisionPtr revIDLastSave="0" documentId="13_ncr:1_{7FC50E40-B469-4BC3-B9DA-082BCBFBEE66}" xr6:coauthVersionLast="38" xr6:coauthVersionMax="38" xr10:uidLastSave="{00000000-0000-0000-0000-000000000000}"/>
  <bookViews>
    <workbookView xWindow="0" yWindow="0" windowWidth="20490" windowHeight="8940" tabRatio="910" xr2:uid="{00000000-000D-0000-FFFF-FFFF00000000}"/>
  </bookViews>
  <sheets>
    <sheet name="Introduccion" sheetId="12" r:id="rId1"/>
    <sheet name="1" sheetId="5" r:id="rId2"/>
    <sheet name="1.1" sheetId="4" r:id="rId3"/>
    <sheet name="1.2" sheetId="11" r:id="rId4"/>
    <sheet name="3.1 COMGES" sheetId="13" r:id="rId5"/>
    <sheet name="3.1 TOTAL" sheetId="22" r:id="rId6"/>
    <sheet name="3.2 y Compromiso Ministerial" sheetId="24" r:id="rId7"/>
    <sheet name="3.2 TOTAL" sheetId="19" r:id="rId8"/>
    <sheet name="3.3 COMGES" sheetId="17" r:id="rId9"/>
    <sheet name="3.3 TOTAL" sheetId="23" r:id="rId10"/>
  </sheets>
  <definedNames>
    <definedName name="_xlnm._FilterDatabase" localSheetId="8" hidden="1">'3.3 COMGES'!#REF!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A15" i="23" l="1"/>
  <c r="AZ10" i="23"/>
  <c r="AZ11" i="23"/>
  <c r="AZ12" i="23"/>
  <c r="AZ13" i="23"/>
  <c r="AZ14" i="23"/>
  <c r="AZ15" i="23"/>
  <c r="AZ16" i="23"/>
  <c r="AZ9" i="23"/>
  <c r="AW15" i="22"/>
  <c r="M15" i="23"/>
  <c r="AP10" i="23"/>
  <c r="AP11" i="23"/>
  <c r="AP12" i="23"/>
  <c r="AP13" i="23"/>
  <c r="AP14" i="23"/>
  <c r="AP15" i="23"/>
  <c r="AP16" i="23"/>
  <c r="AP9" i="23"/>
  <c r="AQ15" i="23"/>
  <c r="AH15" i="23"/>
  <c r="Y15" i="23"/>
  <c r="K9" i="23"/>
  <c r="L9" i="23"/>
  <c r="M6" i="23"/>
  <c r="M5" i="23"/>
  <c r="M4" i="23"/>
  <c r="M3" i="23"/>
  <c r="V34" i="19"/>
  <c r="V44" i="19"/>
  <c r="V11" i="19"/>
  <c r="V56" i="19"/>
  <c r="V58" i="19"/>
  <c r="AA25" i="13"/>
  <c r="Z35" i="13"/>
  <c r="Z33" i="13"/>
  <c r="Z31" i="13"/>
  <c r="Z29" i="13"/>
  <c r="Z27" i="13"/>
  <c r="Z25" i="13"/>
  <c r="Y35" i="13"/>
  <c r="Y33" i="13"/>
  <c r="Y31" i="13"/>
  <c r="Y29" i="13"/>
  <c r="Y27" i="13"/>
  <c r="Y25" i="13"/>
  <c r="L10" i="23"/>
  <c r="L11" i="23"/>
  <c r="L12" i="23"/>
  <c r="L13" i="23"/>
  <c r="L14" i="23"/>
  <c r="L15" i="23"/>
  <c r="L16" i="23"/>
  <c r="L17" i="23"/>
  <c r="L21" i="23"/>
  <c r="L22" i="23"/>
  <c r="L23" i="23"/>
  <c r="L24" i="23"/>
  <c r="L25" i="23"/>
  <c r="L26" i="23"/>
  <c r="L27" i="23"/>
  <c r="L28" i="23"/>
  <c r="L29" i="23"/>
  <c r="L30" i="23"/>
  <c r="L31" i="23"/>
  <c r="L32" i="23"/>
  <c r="L33" i="23"/>
  <c r="L34" i="23"/>
  <c r="L35" i="23"/>
  <c r="L36" i="23"/>
  <c r="L37" i="23"/>
  <c r="L38" i="23"/>
  <c r="L39" i="23"/>
  <c r="L40" i="23"/>
  <c r="L41" i="23"/>
  <c r="L42" i="23"/>
  <c r="X45" i="23"/>
  <c r="X15" i="23"/>
  <c r="X16" i="23"/>
  <c r="X17" i="23"/>
  <c r="X21" i="23"/>
  <c r="X22" i="23"/>
  <c r="X23" i="23"/>
  <c r="X24" i="23"/>
  <c r="X25" i="23"/>
  <c r="X26" i="23"/>
  <c r="X27" i="23"/>
  <c r="X28" i="23"/>
  <c r="X29" i="23"/>
  <c r="X30" i="23"/>
  <c r="X31" i="23"/>
  <c r="X32" i="23"/>
  <c r="X33" i="23"/>
  <c r="X34" i="23"/>
  <c r="X35" i="23"/>
  <c r="X36" i="23"/>
  <c r="X37" i="23"/>
  <c r="X38" i="23"/>
  <c r="X39" i="23"/>
  <c r="X40" i="23"/>
  <c r="X41" i="23"/>
  <c r="X42" i="23"/>
  <c r="X43" i="23"/>
  <c r="X44" i="23"/>
  <c r="AG21" i="23"/>
  <c r="AG10" i="23"/>
  <c r="AG11" i="23"/>
  <c r="AG12" i="23"/>
  <c r="AG13" i="23"/>
  <c r="AG14" i="23"/>
  <c r="AG15" i="23"/>
  <c r="AG16" i="23"/>
  <c r="AG17" i="23"/>
  <c r="AG22" i="23"/>
  <c r="AG23" i="23"/>
  <c r="AG24" i="23"/>
  <c r="AG25" i="23"/>
  <c r="AG26" i="23"/>
  <c r="AG27" i="23"/>
  <c r="AZ17" i="23"/>
  <c r="AZ21" i="23"/>
  <c r="AZ22" i="23"/>
  <c r="AZ23" i="23"/>
  <c r="AZ24" i="23"/>
  <c r="AZ25" i="23"/>
  <c r="AZ26" i="23"/>
  <c r="AZ27" i="23"/>
  <c r="AZ28" i="23"/>
  <c r="AZ29" i="23"/>
  <c r="AZ30" i="23"/>
  <c r="AZ31" i="23"/>
  <c r="AZ32" i="23"/>
  <c r="AZ33" i="23"/>
  <c r="AZ34" i="23"/>
  <c r="AZ35" i="23"/>
  <c r="AZ36" i="23"/>
  <c r="AZ37" i="23"/>
  <c r="AZ38" i="23"/>
  <c r="AZ39" i="23"/>
  <c r="AZ40" i="23"/>
  <c r="AZ41" i="23"/>
  <c r="AZ42" i="23"/>
  <c r="AZ43" i="23"/>
  <c r="AZ44" i="23"/>
  <c r="AZ45" i="23"/>
  <c r="AZ46" i="23"/>
  <c r="AZ47" i="23"/>
  <c r="AZ48" i="23"/>
  <c r="AZ49" i="23"/>
  <c r="AZ50" i="23"/>
  <c r="AZ51" i="23"/>
  <c r="AZ52" i="23"/>
  <c r="AZ53" i="23"/>
  <c r="AG9" i="23"/>
  <c r="X10" i="23"/>
  <c r="X11" i="23"/>
  <c r="X12" i="23"/>
  <c r="X13" i="23"/>
  <c r="X14" i="23"/>
  <c r="X9" i="23"/>
  <c r="I19" i="24"/>
  <c r="I18" i="24"/>
  <c r="I17" i="24"/>
  <c r="I16" i="24"/>
  <c r="I15" i="24"/>
  <c r="I21" i="24" s="1"/>
  <c r="E21" i="24"/>
  <c r="F21" i="24"/>
  <c r="G21" i="24"/>
  <c r="H21" i="24"/>
  <c r="D21" i="24"/>
  <c r="G20" i="24" l="1"/>
  <c r="F20" i="24"/>
  <c r="E20" i="24"/>
  <c r="D20" i="24"/>
  <c r="I20" i="24" l="1"/>
  <c r="K9" i="19"/>
  <c r="K10" i="19"/>
  <c r="K11" i="19"/>
  <c r="K12" i="19"/>
  <c r="K13" i="19"/>
  <c r="K14" i="19"/>
  <c r="K15" i="19"/>
  <c r="K16" i="19"/>
  <c r="L16" i="19" s="1"/>
  <c r="AJ15" i="22"/>
  <c r="AK15" i="22"/>
  <c r="W10" i="22"/>
  <c r="W9" i="22"/>
  <c r="BG10" i="22"/>
  <c r="BG11" i="22"/>
  <c r="BG12" i="22"/>
  <c r="BG13" i="22"/>
  <c r="BG14" i="22"/>
  <c r="BG15" i="22"/>
  <c r="BG9" i="22"/>
  <c r="BH15" i="22" s="1"/>
  <c r="AV9" i="22"/>
  <c r="AJ11" i="22"/>
  <c r="AJ12" i="22"/>
  <c r="AJ13" i="22"/>
  <c r="AJ14" i="22"/>
  <c r="AJ9" i="22"/>
  <c r="AJ10" i="22"/>
  <c r="W11" i="22"/>
  <c r="W12" i="22"/>
  <c r="W13" i="22"/>
  <c r="W14" i="22"/>
  <c r="W15" i="22"/>
  <c r="X15" i="22" s="1"/>
  <c r="L10" i="22"/>
  <c r="L11" i="22"/>
  <c r="L12" i="22"/>
  <c r="L13" i="22"/>
  <c r="L14" i="22"/>
  <c r="L15" i="22"/>
  <c r="M15" i="22" s="1"/>
  <c r="L9" i="22"/>
  <c r="AV10" i="22"/>
  <c r="AV11" i="22"/>
  <c r="AV12" i="22"/>
  <c r="AV13" i="22"/>
  <c r="AV14" i="22"/>
  <c r="AV15" i="22"/>
  <c r="AA29" i="13" l="1"/>
  <c r="AA33" i="13"/>
  <c r="AA35" i="13"/>
  <c r="AA31" i="13"/>
  <c r="AA27" i="13"/>
  <c r="AM25" i="11" l="1"/>
  <c r="AM26" i="11"/>
  <c r="AM27" i="11"/>
  <c r="AM28" i="11"/>
  <c r="AM29" i="11"/>
  <c r="AM30" i="11"/>
  <c r="AM31" i="11"/>
  <c r="AM32" i="11"/>
  <c r="AM33" i="11"/>
  <c r="AM34" i="11"/>
  <c r="AM35" i="11"/>
  <c r="AM36" i="11"/>
  <c r="AM37" i="11"/>
  <c r="AM38" i="11"/>
  <c r="AM39" i="11"/>
  <c r="AM40" i="11"/>
  <c r="AM41" i="11"/>
  <c r="AM42" i="11"/>
  <c r="AM43" i="11"/>
  <c r="AM44" i="11"/>
  <c r="AM45" i="11"/>
  <c r="AM46" i="11"/>
  <c r="AM47" i="11"/>
  <c r="AM48" i="11"/>
  <c r="AM49" i="11"/>
  <c r="AM50" i="11"/>
  <c r="AM51" i="11"/>
  <c r="AM52" i="11"/>
  <c r="AM53" i="11"/>
  <c r="AM54" i="11"/>
  <c r="AM55" i="11"/>
  <c r="AM56" i="11"/>
  <c r="AM57" i="11"/>
  <c r="AM58" i="11"/>
  <c r="AM59" i="11"/>
  <c r="AM60" i="11"/>
  <c r="AM61" i="11"/>
  <c r="AM62" i="11"/>
  <c r="AM63" i="11"/>
  <c r="AM64" i="11"/>
  <c r="AM65" i="11"/>
  <c r="AM10" i="11"/>
  <c r="AM11" i="11"/>
  <c r="AM12" i="11"/>
  <c r="AM13" i="11"/>
  <c r="AM14" i="11"/>
  <c r="AM15" i="11"/>
  <c r="AM16" i="11"/>
  <c r="AM17" i="11"/>
  <c r="AM18" i="11"/>
  <c r="AM19" i="11"/>
  <c r="AM20" i="11"/>
  <c r="AM21" i="11"/>
  <c r="AM22" i="11"/>
  <c r="AM23" i="11"/>
  <c r="AM24" i="11"/>
  <c r="AM9" i="11"/>
  <c r="AN10" i="11"/>
  <c r="AH10" i="11"/>
  <c r="K28" i="4"/>
  <c r="H55" i="24" l="1"/>
  <c r="J55" i="24" s="1"/>
  <c r="D55" i="24"/>
  <c r="I55" i="24" s="1"/>
  <c r="H54" i="24"/>
  <c r="J54" i="24" s="1"/>
  <c r="D54" i="24"/>
  <c r="I54" i="24" s="1"/>
  <c r="H53" i="24"/>
  <c r="J53" i="24" s="1"/>
  <c r="D53" i="24"/>
  <c r="I53" i="24" s="1"/>
  <c r="H52" i="24"/>
  <c r="J52" i="24" s="1"/>
  <c r="D52" i="24"/>
  <c r="I52" i="24" s="1"/>
  <c r="H51" i="24"/>
  <c r="J51" i="24" s="1"/>
  <c r="D51" i="24"/>
  <c r="I51" i="24" s="1"/>
  <c r="H50" i="24"/>
  <c r="J50" i="24" s="1"/>
  <c r="D50" i="24"/>
  <c r="I50" i="24" s="1"/>
  <c r="E42" i="24"/>
  <c r="C41" i="24"/>
  <c r="E41" i="24" s="1"/>
  <c r="E40" i="24"/>
  <c r="E39" i="24"/>
  <c r="C38" i="24"/>
  <c r="E38" i="24" s="1"/>
  <c r="E37" i="24"/>
  <c r="J32" i="24"/>
  <c r="G32" i="24"/>
  <c r="E32" i="24"/>
  <c r="J31" i="24"/>
  <c r="G31" i="24"/>
  <c r="E31" i="24"/>
  <c r="J30" i="24"/>
  <c r="G30" i="24"/>
  <c r="E30" i="24"/>
  <c r="J29" i="24"/>
  <c r="G29" i="24"/>
  <c r="E29" i="24"/>
  <c r="J28" i="24"/>
  <c r="G28" i="24"/>
  <c r="E28" i="24"/>
  <c r="AY15" i="23" l="1"/>
  <c r="AO12" i="23"/>
  <c r="AO13" i="23"/>
  <c r="AO14" i="23"/>
  <c r="AO15" i="23"/>
  <c r="AF15" i="23"/>
  <c r="W15" i="23"/>
  <c r="K15" i="23"/>
  <c r="U35" i="17"/>
  <c r="U36" i="17" l="1"/>
  <c r="BG105" i="22" l="1"/>
  <c r="BG101" i="22"/>
  <c r="BG98" i="22"/>
  <c r="BG87" i="22"/>
  <c r="BG85" i="22"/>
  <c r="BG57" i="22"/>
  <c r="BG55" i="22"/>
  <c r="BG53" i="22"/>
  <c r="BG24" i="22"/>
  <c r="K17" i="22" l="1"/>
  <c r="K16" i="22"/>
  <c r="K15" i="22"/>
  <c r="K14" i="22"/>
  <c r="K13" i="22"/>
  <c r="K12" i="22"/>
  <c r="K11" i="22"/>
  <c r="K10" i="22"/>
  <c r="V14" i="22"/>
  <c r="V13" i="22"/>
  <c r="V12" i="22"/>
  <c r="V11" i="22"/>
  <c r="V10" i="22"/>
  <c r="V9" i="22"/>
  <c r="AU15" i="22"/>
  <c r="M4" i="22" s="1"/>
  <c r="BF15" i="22"/>
  <c r="M5" i="22" l="1"/>
  <c r="AV44" i="22"/>
  <c r="AV40" i="22"/>
  <c r="AV37" i="22"/>
  <c r="AV34" i="22"/>
  <c r="AV24" i="22"/>
  <c r="AJ23" i="22"/>
  <c r="W97" i="22"/>
  <c r="W65" i="22"/>
  <c r="W24" i="22"/>
  <c r="AI15" i="22"/>
  <c r="M3" i="22" s="1"/>
  <c r="V142" i="22"/>
  <c r="U142" i="22"/>
  <c r="T142" i="22"/>
  <c r="S142" i="22"/>
  <c r="R142" i="22"/>
  <c r="Q142" i="22"/>
  <c r="P142" i="22"/>
  <c r="V15" i="22" l="1"/>
  <c r="M2" i="22" s="1"/>
  <c r="K113" i="22"/>
  <c r="K112" i="22"/>
  <c r="K111" i="22"/>
  <c r="K110" i="22"/>
  <c r="K109" i="22"/>
  <c r="K108" i="22"/>
  <c r="K107" i="22"/>
  <c r="K106" i="22"/>
  <c r="K105" i="22"/>
  <c r="J104" i="22"/>
  <c r="I104" i="22"/>
  <c r="H104" i="22"/>
  <c r="G104" i="22"/>
  <c r="F104" i="22"/>
  <c r="E104" i="22"/>
  <c r="D104" i="22"/>
  <c r="C104" i="22"/>
  <c r="B104" i="22"/>
  <c r="K103" i="22"/>
  <c r="K102" i="22"/>
  <c r="K101" i="22"/>
  <c r="K100" i="22"/>
  <c r="K99" i="22"/>
  <c r="K98" i="22"/>
  <c r="K97" i="22"/>
  <c r="K96" i="22"/>
  <c r="K95" i="22"/>
  <c r="K94" i="22"/>
  <c r="K93" i="22"/>
  <c r="K92" i="22"/>
  <c r="K91" i="22"/>
  <c r="K90" i="22"/>
  <c r="K89" i="22"/>
  <c r="K88" i="22"/>
  <c r="K87" i="22"/>
  <c r="K86" i="22"/>
  <c r="K85" i="22"/>
  <c r="K84" i="22"/>
  <c r="J83" i="22"/>
  <c r="I83" i="22"/>
  <c r="H83" i="22"/>
  <c r="G83" i="22"/>
  <c r="F83" i="22"/>
  <c r="E83" i="22"/>
  <c r="D83" i="22"/>
  <c r="C83" i="22"/>
  <c r="B83" i="22"/>
  <c r="K82" i="22"/>
  <c r="K81" i="22"/>
  <c r="K80" i="22"/>
  <c r="K79" i="22"/>
  <c r="K78" i="22"/>
  <c r="K77" i="22"/>
  <c r="K76" i="22"/>
  <c r="K75" i="22"/>
  <c r="K74" i="22"/>
  <c r="J73" i="22"/>
  <c r="I73" i="22"/>
  <c r="H73" i="22"/>
  <c r="G73" i="22"/>
  <c r="F73" i="22"/>
  <c r="E73" i="22"/>
  <c r="D73" i="22"/>
  <c r="C73" i="22"/>
  <c r="B73" i="22"/>
  <c r="K72" i="22"/>
  <c r="K71" i="22"/>
  <c r="K70" i="22"/>
  <c r="K69" i="22"/>
  <c r="K68" i="22"/>
  <c r="K67" i="22"/>
  <c r="K66" i="22"/>
  <c r="K65" i="22"/>
  <c r="K64" i="22"/>
  <c r="K63" i="22"/>
  <c r="K62" i="22"/>
  <c r="K61" i="22"/>
  <c r="K60" i="22"/>
  <c r="K59" i="22"/>
  <c r="K58" i="22"/>
  <c r="K57" i="22"/>
  <c r="K56" i="22"/>
  <c r="K55" i="22"/>
  <c r="K54" i="22"/>
  <c r="K53" i="22"/>
  <c r="K52" i="22"/>
  <c r="K51" i="22"/>
  <c r="K50" i="22"/>
  <c r="K49" i="22"/>
  <c r="K48" i="22"/>
  <c r="K47" i="22"/>
  <c r="K46" i="22"/>
  <c r="K45" i="22"/>
  <c r="K44" i="22"/>
  <c r="K43" i="22"/>
  <c r="K42" i="22"/>
  <c r="K41" i="22"/>
  <c r="K40" i="22"/>
  <c r="K39" i="22"/>
  <c r="K38" i="22"/>
  <c r="K37" i="22"/>
  <c r="K36" i="22"/>
  <c r="K35" i="22"/>
  <c r="K34" i="22"/>
  <c r="K33" i="22"/>
  <c r="K32" i="22"/>
  <c r="K31" i="22"/>
  <c r="K30" i="22"/>
  <c r="K29" i="22"/>
  <c r="K28" i="22"/>
  <c r="K27" i="22"/>
  <c r="K26" i="22"/>
  <c r="K25" i="22"/>
  <c r="K24" i="22"/>
  <c r="K23" i="22"/>
  <c r="J22" i="22"/>
  <c r="I22" i="22"/>
  <c r="H22" i="22"/>
  <c r="BF9" i="22"/>
  <c r="AU9" i="22"/>
  <c r="K9" i="22"/>
  <c r="K22" i="22" l="1"/>
  <c r="L63" i="22" s="1"/>
  <c r="G114" i="22"/>
  <c r="I114" i="22"/>
  <c r="J114" i="22"/>
  <c r="H114" i="22"/>
  <c r="K73" i="22"/>
  <c r="L75" i="22" s="1"/>
  <c r="E114" i="22"/>
  <c r="K104" i="22"/>
  <c r="L111" i="22" s="1"/>
  <c r="F114" i="22"/>
  <c r="K83" i="22"/>
  <c r="L87" i="22" s="1"/>
  <c r="L24" i="22" l="1"/>
  <c r="L93" i="22"/>
  <c r="L92" i="22"/>
  <c r="L99" i="22"/>
  <c r="L82" i="22"/>
  <c r="L112" i="22"/>
  <c r="L40" i="22"/>
  <c r="L70" i="22"/>
  <c r="L62" i="22"/>
  <c r="L54" i="22"/>
  <c r="L46" i="22"/>
  <c r="L38" i="22"/>
  <c r="L30" i="22"/>
  <c r="L69" i="22"/>
  <c r="L61" i="22"/>
  <c r="L53" i="22"/>
  <c r="L45" i="22"/>
  <c r="L37" i="22"/>
  <c r="L29" i="22"/>
  <c r="L60" i="22"/>
  <c r="L44" i="22"/>
  <c r="L28" i="22"/>
  <c r="L68" i="22"/>
  <c r="L52" i="22"/>
  <c r="L36" i="22"/>
  <c r="L85" i="22"/>
  <c r="L84" i="22"/>
  <c r="L91" i="22"/>
  <c r="L74" i="22"/>
  <c r="L96" i="22"/>
  <c r="L32" i="22"/>
  <c r="L55" i="22"/>
  <c r="L110" i="22"/>
  <c r="L43" i="22"/>
  <c r="L76" i="22"/>
  <c r="L66" i="22"/>
  <c r="L88" i="22"/>
  <c r="L47" i="22"/>
  <c r="K114" i="22"/>
  <c r="M23" i="22" s="1"/>
  <c r="L78" i="22"/>
  <c r="L77" i="22"/>
  <c r="L59" i="22"/>
  <c r="L34" i="22"/>
  <c r="L51" i="22"/>
  <c r="L67" i="22"/>
  <c r="L58" i="22"/>
  <c r="L80" i="22"/>
  <c r="L103" i="22"/>
  <c r="L39" i="22"/>
  <c r="L42" i="22"/>
  <c r="L89" i="22"/>
  <c r="L27" i="22"/>
  <c r="L35" i="22"/>
  <c r="L50" i="22"/>
  <c r="L72" i="22"/>
  <c r="L95" i="22"/>
  <c r="L31" i="22"/>
  <c r="L65" i="22"/>
  <c r="L57" i="22"/>
  <c r="L97" i="22"/>
  <c r="L113" i="22"/>
  <c r="L26" i="22"/>
  <c r="L64" i="22"/>
  <c r="L23" i="22"/>
  <c r="L109" i="22"/>
  <c r="L108" i="22"/>
  <c r="L41" i="22"/>
  <c r="L33" i="22"/>
  <c r="L81" i="22"/>
  <c r="L56" i="22"/>
  <c r="L79" i="22"/>
  <c r="L105" i="22"/>
  <c r="L98" i="22"/>
  <c r="L90" i="22"/>
  <c r="L102" i="22"/>
  <c r="L94" i="22"/>
  <c r="L86" i="22"/>
  <c r="L101" i="22"/>
  <c r="L100" i="22"/>
  <c r="L107" i="22"/>
  <c r="L106" i="22"/>
  <c r="L49" i="22"/>
  <c r="L48" i="22"/>
  <c r="L71" i="22"/>
  <c r="L25" i="22"/>
  <c r="M105" i="22"/>
  <c r="W36" i="13"/>
  <c r="W35" i="13"/>
  <c r="M74" i="22" l="1"/>
  <c r="M84" i="22"/>
  <c r="AG11" i="11"/>
  <c r="AG12" i="11"/>
  <c r="AG13" i="11"/>
  <c r="AG14" i="11"/>
  <c r="AG15" i="11"/>
  <c r="AG16" i="11"/>
  <c r="AG17" i="11"/>
  <c r="AG18" i="11"/>
  <c r="AG19" i="11"/>
  <c r="AG20" i="11"/>
  <c r="AG21" i="11"/>
  <c r="AG22" i="11"/>
  <c r="AG23" i="11"/>
  <c r="AG24" i="11"/>
  <c r="AG25" i="11"/>
  <c r="AG26" i="11"/>
  <c r="AG27" i="11"/>
  <c r="AG28" i="11"/>
  <c r="AG29" i="11"/>
  <c r="AG30" i="11"/>
  <c r="AG31" i="11"/>
  <c r="AG32" i="11"/>
  <c r="AG33" i="11"/>
  <c r="AG34" i="11"/>
  <c r="AG35" i="11"/>
  <c r="AG36" i="11"/>
  <c r="AG37" i="11"/>
  <c r="AG38" i="11"/>
  <c r="AG39" i="11"/>
  <c r="AG40" i="11"/>
  <c r="AG41" i="11"/>
  <c r="AG42" i="11"/>
  <c r="AG43" i="11"/>
  <c r="AG44" i="11"/>
  <c r="AG45" i="11"/>
  <c r="AG46" i="11"/>
  <c r="AG47" i="11"/>
  <c r="AG48" i="11"/>
  <c r="AG49" i="11"/>
  <c r="AG50" i="11"/>
  <c r="AG51" i="11"/>
  <c r="AG52" i="11"/>
  <c r="AG53" i="11"/>
  <c r="AG54" i="11"/>
  <c r="AG55" i="11"/>
  <c r="AG56" i="11"/>
  <c r="AG57" i="11"/>
  <c r="AG58" i="11"/>
  <c r="AG59" i="11"/>
  <c r="AG60" i="11"/>
  <c r="AG61" i="11"/>
  <c r="AG62" i="11"/>
  <c r="AG63" i="11"/>
  <c r="AG64" i="11"/>
  <c r="AG65" i="11"/>
  <c r="AG66" i="11"/>
  <c r="AG67" i="11"/>
  <c r="AG68" i="11"/>
  <c r="AG10" i="11"/>
  <c r="AG9" i="11"/>
  <c r="J26" i="4" l="1"/>
  <c r="K26" i="4"/>
  <c r="L26" i="4"/>
  <c r="M26" i="4"/>
  <c r="U34" i="17" l="1"/>
  <c r="U33" i="17"/>
  <c r="V54" i="19" l="1"/>
  <c r="V23" i="19"/>
  <c r="W34" i="13" l="1"/>
  <c r="W33" i="13"/>
  <c r="I26" i="4" l="1"/>
  <c r="K22" i="19" l="1"/>
  <c r="U32" i="17" l="1"/>
  <c r="W32" i="13" l="1"/>
  <c r="W31" i="13" l="1"/>
  <c r="U31" i="17" l="1"/>
  <c r="K33" i="19" l="1"/>
  <c r="K32" i="19"/>
  <c r="K31" i="19"/>
  <c r="K30" i="19"/>
  <c r="K29" i="19"/>
  <c r="K28" i="19"/>
  <c r="K27" i="19"/>
  <c r="K26" i="19"/>
  <c r="K25" i="19"/>
  <c r="K24" i="19"/>
  <c r="K23" i="19"/>
  <c r="U30" i="17" l="1"/>
  <c r="U29" i="17"/>
  <c r="W30" i="13"/>
  <c r="W29" i="13"/>
  <c r="U28" i="17" l="1"/>
  <c r="U27" i="17"/>
  <c r="U26" i="17"/>
  <c r="U25" i="17"/>
  <c r="S22" i="17"/>
  <c r="Q22" i="17"/>
  <c r="P22" i="17"/>
  <c r="O22" i="17"/>
  <c r="N22" i="17"/>
  <c r="L22" i="17"/>
  <c r="G22" i="17"/>
  <c r="I22" i="17"/>
  <c r="F22" i="17"/>
  <c r="E22" i="17"/>
  <c r="D22" i="17"/>
  <c r="C22" i="17"/>
  <c r="S21" i="17"/>
  <c r="Q21" i="17"/>
  <c r="P21" i="17"/>
  <c r="O21" i="17"/>
  <c r="N21" i="17"/>
  <c r="L21" i="17"/>
  <c r="G21" i="17"/>
  <c r="I21" i="17"/>
  <c r="F21" i="17"/>
  <c r="E21" i="17"/>
  <c r="D21" i="17"/>
  <c r="C21" i="17"/>
  <c r="U20" i="17"/>
  <c r="U19" i="17"/>
  <c r="U18" i="17"/>
  <c r="U17" i="17"/>
  <c r="U16" i="17"/>
  <c r="U15" i="17"/>
  <c r="R28" i="13"/>
  <c r="Q28" i="13"/>
  <c r="P28" i="13"/>
  <c r="N28" i="13"/>
  <c r="M28" i="13"/>
  <c r="U27" i="13"/>
  <c r="R27" i="13"/>
  <c r="Q27" i="13"/>
  <c r="P27" i="13"/>
  <c r="M27" i="13"/>
  <c r="W26" i="13"/>
  <c r="W25" i="13"/>
  <c r="W22" i="13"/>
  <c r="W21" i="13"/>
  <c r="W20" i="13"/>
  <c r="W19" i="13"/>
  <c r="W18" i="13"/>
  <c r="W17" i="13"/>
  <c r="W16" i="13"/>
  <c r="W15" i="13"/>
  <c r="U22" i="17" l="1"/>
  <c r="U21" i="17"/>
  <c r="W27" i="13"/>
  <c r="W28" i="13"/>
  <c r="W29" i="17" l="1"/>
  <c r="W25" i="17"/>
  <c r="W35" i="17"/>
  <c r="W33" i="17"/>
  <c r="W27" i="17"/>
  <c r="W31" i="17"/>
  <c r="X35" i="17"/>
  <c r="Y35" i="17" s="1"/>
  <c r="X33" i="17"/>
  <c r="Y33" i="17" s="1"/>
  <c r="X31" i="17"/>
  <c r="Y31" i="17" s="1"/>
  <c r="X29" i="17"/>
  <c r="Y29" i="17" s="1"/>
  <c r="X27" i="17"/>
  <c r="Y27" i="17" s="1"/>
  <c r="X25" i="17"/>
  <c r="Y25" i="17" s="1"/>
  <c r="H26" i="4"/>
  <c r="O9" i="11" l="1"/>
  <c r="P15" i="11" s="1"/>
  <c r="P12" i="11" l="1"/>
  <c r="P61" i="11"/>
  <c r="P46" i="11"/>
  <c r="P30" i="11"/>
  <c r="P66" i="11"/>
  <c r="P58" i="11"/>
  <c r="P42" i="11"/>
  <c r="P26" i="11"/>
  <c r="P9" i="11"/>
  <c r="P65" i="11"/>
  <c r="P54" i="11"/>
  <c r="P38" i="11"/>
  <c r="P22" i="11"/>
  <c r="P13" i="11"/>
  <c r="P62" i="11"/>
  <c r="P50" i="11"/>
  <c r="P34" i="11"/>
  <c r="P18" i="11"/>
  <c r="P57" i="11"/>
  <c r="P53" i="11"/>
  <c r="P49" i="11"/>
  <c r="P45" i="11"/>
  <c r="P41" i="11"/>
  <c r="P37" i="11"/>
  <c r="P33" i="11"/>
  <c r="P29" i="11"/>
  <c r="P25" i="11"/>
  <c r="P21" i="11"/>
  <c r="P17" i="11"/>
  <c r="P10" i="11"/>
  <c r="P11" i="11"/>
  <c r="P64" i="11"/>
  <c r="P60" i="11"/>
  <c r="P56" i="11"/>
  <c r="P52" i="11"/>
  <c r="P48" i="11"/>
  <c r="P44" i="11"/>
  <c r="P40" i="11"/>
  <c r="P36" i="11"/>
  <c r="P32" i="11"/>
  <c r="P28" i="11"/>
  <c r="P24" i="11"/>
  <c r="P20" i="11"/>
  <c r="P16" i="11"/>
  <c r="P14" i="11"/>
  <c r="P67" i="11"/>
  <c r="P63" i="11"/>
  <c r="P59" i="11"/>
  <c r="P55" i="11"/>
  <c r="P51" i="11"/>
  <c r="P47" i="11"/>
  <c r="P43" i="11"/>
  <c r="P39" i="11"/>
  <c r="P35" i="11"/>
  <c r="P31" i="11"/>
  <c r="P27" i="11"/>
  <c r="P23" i="11"/>
  <c r="P19" i="11"/>
  <c r="G25" i="4"/>
  <c r="K10" i="11"/>
  <c r="Q10" i="11" l="1"/>
  <c r="C9" i="11"/>
  <c r="D10" i="11" s="1"/>
  <c r="F24" i="4"/>
  <c r="F25" i="4" s="1"/>
  <c r="E24" i="4"/>
  <c r="E25" i="4" s="1"/>
  <c r="D24" i="4"/>
  <c r="D25" i="4" s="1"/>
  <c r="C24" i="4"/>
  <c r="C25" i="4" s="1"/>
  <c r="B24" i="4"/>
  <c r="B25" i="4" s="1"/>
  <c r="B12" i="4"/>
  <c r="B13" i="4" s="1"/>
  <c r="C12" i="4"/>
  <c r="C13" i="4" s="1"/>
  <c r="M12" i="4"/>
  <c r="M13" i="4" s="1"/>
  <c r="L12" i="4"/>
  <c r="L13" i="4" s="1"/>
  <c r="K12" i="4"/>
  <c r="K13" i="4" s="1"/>
  <c r="J12" i="4"/>
  <c r="J13" i="4" s="1"/>
  <c r="I12" i="4"/>
  <c r="I13" i="4" s="1"/>
  <c r="H12" i="4"/>
  <c r="H13" i="4" s="1"/>
  <c r="G12" i="4"/>
  <c r="G13" i="4" s="1"/>
  <c r="F12" i="4"/>
  <c r="F13" i="4" s="1"/>
  <c r="E12" i="4"/>
  <c r="E13" i="4" s="1"/>
  <c r="D12" i="4"/>
  <c r="D13" i="4" s="1"/>
  <c r="D58" i="11" l="1"/>
  <c r="D50" i="11"/>
  <c r="D41" i="11"/>
  <c r="D66" i="11"/>
  <c r="D25" i="11"/>
  <c r="D65" i="11"/>
  <c r="D57" i="11"/>
  <c r="D49" i="11"/>
  <c r="D37" i="11"/>
  <c r="D21" i="11"/>
  <c r="D9" i="11"/>
  <c r="D62" i="11"/>
  <c r="D54" i="11"/>
  <c r="D46" i="11"/>
  <c r="D33" i="11"/>
  <c r="D17" i="11"/>
  <c r="D69" i="11"/>
  <c r="D61" i="11"/>
  <c r="D53" i="11"/>
  <c r="D45" i="11"/>
  <c r="D29" i="11"/>
  <c r="D13" i="11"/>
  <c r="D68" i="11"/>
  <c r="D64" i="11"/>
  <c r="D60" i="11"/>
  <c r="D56" i="11"/>
  <c r="D52" i="11"/>
  <c r="D48" i="11"/>
  <c r="D44" i="11"/>
  <c r="D40" i="11"/>
  <c r="D36" i="11"/>
  <c r="D32" i="11"/>
  <c r="D28" i="11"/>
  <c r="D24" i="11"/>
  <c r="D20" i="11"/>
  <c r="D16" i="11"/>
  <c r="D12" i="11"/>
  <c r="D67" i="11"/>
  <c r="D63" i="11"/>
  <c r="D59" i="11"/>
  <c r="D55" i="11"/>
  <c r="D51" i="11"/>
  <c r="D47" i="11"/>
  <c r="D43" i="11"/>
  <c r="D39" i="11"/>
  <c r="D35" i="11"/>
  <c r="D31" i="11"/>
  <c r="D27" i="11"/>
  <c r="D23" i="11"/>
  <c r="D19" i="11"/>
  <c r="D15" i="11"/>
  <c r="D11" i="11"/>
  <c r="D42" i="11"/>
  <c r="D38" i="11"/>
  <c r="D34" i="11"/>
  <c r="D30" i="11"/>
  <c r="D26" i="11"/>
  <c r="D22" i="11"/>
  <c r="D18" i="11"/>
  <c r="D14" i="11"/>
  <c r="E10" i="1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oscar santander</author>
  </authors>
  <commentList>
    <comment ref="D35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oscar santander:</t>
        </r>
        <r>
          <rPr>
            <sz val="9"/>
            <color indexed="81"/>
            <rFont val="Tahoma"/>
            <family val="2"/>
          </rPr>
          <t xml:space="preserve">
1 PACIENTE CON PROBLEMA DE PLATAFORMA SIGTE</t>
        </r>
      </text>
    </comment>
    <comment ref="F35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oscar santander:</t>
        </r>
        <r>
          <rPr>
            <sz val="9"/>
            <color indexed="81"/>
            <rFont val="Tahoma"/>
            <family val="2"/>
          </rPr>
          <t xml:space="preserve">
1 PACIENTE CON PROBLEMA DE PLATAFORMA SIGTE</t>
        </r>
      </text>
    </comment>
  </commentList>
</comments>
</file>

<file path=xl/sharedStrings.xml><?xml version="1.0" encoding="utf-8"?>
<sst xmlns="http://schemas.openxmlformats.org/spreadsheetml/2006/main" count="1482" uniqueCount="447">
  <si>
    <t>COMGES 2018
(&lt;= 2016)</t>
  </si>
  <si>
    <t>TOTAL LISTA ESPERA CNE</t>
  </si>
  <si>
    <t>SALAMANCA</t>
  </si>
  <si>
    <t>PUNITAQUI</t>
  </si>
  <si>
    <t>OVALLE</t>
  </si>
  <si>
    <t>MONTE PATRIA</t>
  </si>
  <si>
    <t>LA SERENA</t>
  </si>
  <si>
    <t>LA HIGUERA</t>
  </si>
  <si>
    <t>COQUIMBO</t>
  </si>
  <si>
    <t>CANELA</t>
  </si>
  <si>
    <t>HOSPITAL DE ILLAPEL</t>
  </si>
  <si>
    <t>HOSPITAL DE OVALLE</t>
  </si>
  <si>
    <t>HOSPITAL DE COQUIMBO</t>
  </si>
  <si>
    <t>HOSPITAL DE LA SERENA</t>
  </si>
  <si>
    <t>Año Entrada</t>
  </si>
  <si>
    <t>MINISTERIO DE SALUD</t>
  </si>
  <si>
    <t>SERVICIO DE SALUD COQUIMBO</t>
  </si>
  <si>
    <t>SUBDIRECCION DE GESTION ASISTENCIAL</t>
  </si>
  <si>
    <t>SUBDEPTO. DE ESTADISTICAS Y GESTION DE LA INFORMACION</t>
  </si>
  <si>
    <t>Indicador COMGES 3.1 Porcentaje de casos resueltos de Lista de Espera de Consulta Nueva de Especialidad Médica, ingresadas con fecha igual o anterior al 31 de diciembre del 2016.</t>
  </si>
  <si>
    <t>Meta Nacional al 2018</t>
  </si>
  <si>
    <t>1.-  Resolver el 100% de la Lista de Espera por Consulta Nueva de Especialidad Médica de personas Ingresadas con fecha igual o anterior al 31.12.2016</t>
  </si>
  <si>
    <t>FUENTE INFORMACION  RNLE  19.01.2018</t>
  </si>
  <si>
    <t>RNLE  19.01.2018 para Lines Base</t>
  </si>
  <si>
    <t xml:space="preserve">LISTA ESPERA CONSULTA NUEVA ESPECIALIDAD CORTE AL 31.12.2017 </t>
  </si>
  <si>
    <t>ESTABLECIMIENTO</t>
  </si>
  <si>
    <t>TOTAL
LISTA ESPERA
CIERRE DIC 2017</t>
  </si>
  <si>
    <t>LE &lt;=2015 IQ</t>
  </si>
  <si>
    <t>COMGES</t>
  </si>
  <si>
    <t>TOTAL LE IQ SS COQUIMBO</t>
  </si>
  <si>
    <t>HOSPITAL LA SERENA</t>
  </si>
  <si>
    <t>HOSPITAL DE LOS VILOS</t>
  </si>
  <si>
    <t>AÑOS</t>
  </si>
  <si>
    <t>Total Servicio Salud</t>
  </si>
  <si>
    <t>TOTAL LISTA ESPERA CNE ODONTOLOGICA</t>
  </si>
  <si>
    <t>COMGES 2018
(&lt;= 2014)</t>
  </si>
  <si>
    <t xml:space="preserve">LISTA ESPERA CONSULTA NUEVA ESPECIALIDAD ODONTOLOGICA CORTE AL 31.12.2017 </t>
  </si>
  <si>
    <t>Evolución</t>
  </si>
  <si>
    <t>CORTE 17/01/2017</t>
  </si>
  <si>
    <t>CORTE 28/02/2017</t>
  </si>
  <si>
    <t>CORTE 21/03/2017</t>
  </si>
  <si>
    <t>CORTE 10/04/2017</t>
  </si>
  <si>
    <t>CORTE 23/05/2017</t>
  </si>
  <si>
    <t>CORTE 13/06/2017</t>
  </si>
  <si>
    <t>CORTE 11/07/2017</t>
  </si>
  <si>
    <t>CORTE 18/08/2017</t>
  </si>
  <si>
    <t>CORTE 26/09/2017</t>
  </si>
  <si>
    <t>CORTE 17/10/2017</t>
  </si>
  <si>
    <t>CORTE 28/11/2017</t>
  </si>
  <si>
    <t>CORTE 19/12/2017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</si>
  <si>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</si>
  <si>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</si>
  <si>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</si>
  <si>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</si>
  <si>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</si>
  <si>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</si>
  <si>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</si>
  <si>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</si>
  <si>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</si>
  <si>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</si>
  <si>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</si>
  <si>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</si>
  <si>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Hospital la Serena</t>
  </si>
  <si>
    <t>Hospital Coquimbo</t>
  </si>
  <si>
    <t>Hospital Ovalle</t>
  </si>
  <si>
    <t>Hospital Illapel</t>
  </si>
  <si>
    <t>APS</t>
  </si>
  <si>
    <t>Hospitales baja complejidad</t>
  </si>
  <si>
    <t>Evolucion 2017</t>
  </si>
  <si>
    <t>CORTE 02/01/2018</t>
  </si>
  <si>
    <t>CORTE 07/02/2018</t>
  </si>
  <si>
    <t>CORTE 06/03/2018</t>
  </si>
  <si>
    <t>CORTE 03/04/2018</t>
  </si>
  <si>
    <t>Evolucion 2018</t>
  </si>
  <si>
    <t>Total general</t>
  </si>
  <si>
    <t>%</t>
  </si>
  <si>
    <t>GO Retrasadas Region</t>
  </si>
  <si>
    <t>PS Retrasados</t>
  </si>
  <si>
    <t>3.1</t>
  </si>
  <si>
    <t>3.2</t>
  </si>
  <si>
    <t>3.3</t>
  </si>
  <si>
    <t>EVOLUCION GARANTIAS DE OPORTUNIDAD RETRASADAS</t>
  </si>
  <si>
    <t>Total</t>
  </si>
  <si>
    <t>Problema de Salud</t>
  </si>
  <si>
    <t>TOTAL GES Retrasadas</t>
  </si>
  <si>
    <t>% Total</t>
  </si>
  <si>
    <t>1º</t>
  </si>
  <si>
    <t>Vicios de Refracción Sospecha Vicios de Refracción {decreto nº 228}</t>
  </si>
  <si>
    <t>2º</t>
  </si>
  <si>
    <t>Prevención Secundaria IRCT . {decreto n° 1/2010}</t>
  </si>
  <si>
    <t>3º</t>
  </si>
  <si>
    <t>Vicios de Refracción Otros Vicios de Refracción {decreto nº 228}</t>
  </si>
  <si>
    <t>4º</t>
  </si>
  <si>
    <t>Ortesis . {decreto nº 228}</t>
  </si>
  <si>
    <t>5º</t>
  </si>
  <si>
    <t>Salud Oral Integral de la Embarazada . {decreto n° 1/2010}</t>
  </si>
  <si>
    <t>6º</t>
  </si>
  <si>
    <t>Cáncer Cervicouterino Segmento Proceso de Diagnóstico {decreto nº 228}</t>
  </si>
  <si>
    <t>7º</t>
  </si>
  <si>
    <t>Retinopatía Diabética . {decreto nº 228}</t>
  </si>
  <si>
    <t>8º</t>
  </si>
  <si>
    <t>Colecistectomía Preventiva . {decreto nº 228}</t>
  </si>
  <si>
    <t>9º</t>
  </si>
  <si>
    <t>Displasia Luxante de Caderas . {decreto n° 1/2010}</t>
  </si>
  <si>
    <t>10º</t>
  </si>
  <si>
    <t>Cáncer de Mama Derecha {decreto nº 228}</t>
  </si>
  <si>
    <t>Estrabismo . {decreto nº 228}</t>
  </si>
  <si>
    <t>Catarátas Rama Unilateral Derecha {decreto nº 228}</t>
  </si>
  <si>
    <t>Marcapaso . {decreto nº 228}</t>
  </si>
  <si>
    <t>Cáncer de Mama Izquierda {decreto nº 228}</t>
  </si>
  <si>
    <t>Linfoma en Adultos .{decreto nº 228}</t>
  </si>
  <si>
    <t>Depresión . {decreto nº 228}</t>
  </si>
  <si>
    <t>Cardiopatías Congénitas Operables Proceso de Diagnóstico{decreto nº 228}</t>
  </si>
  <si>
    <t>Epilepsia no Refractaria 15 Años y Más . {decreto n° 1/2010}</t>
  </si>
  <si>
    <t>Diabetes Mellitus Tipo 2 . {decreto nº 228}</t>
  </si>
  <si>
    <t>Catarátas Rama Unilateral Izquierda{decreto nº 228}</t>
  </si>
  <si>
    <t>Cáncer Gástrico . {decreto nº 228}</t>
  </si>
  <si>
    <t>Alivio del Dolor . {decreto nº 228}</t>
  </si>
  <si>
    <t>Hipertensión Arterial . {decreto nº 228}</t>
  </si>
  <si>
    <t>Esquizofrenia . {decreto nº 228}</t>
  </si>
  <si>
    <t>Hiperplasia de Próstata . {decreto nº 228}</t>
  </si>
  <si>
    <t>VIH/SIDA . {decreto nº 1/2010}</t>
  </si>
  <si>
    <t>Cáncer de Testículo en Adultos Caso en Sospecha y Proceso de Diagnóstico{decreto nº 228}</t>
  </si>
  <si>
    <t>Catarátas Proceso de Diagnóstico {decreto nº 228}</t>
  </si>
  <si>
    <t>Cáncer Cervicouterino Pre-Invasor {decreto nº 228}</t>
  </si>
  <si>
    <t>Catarátas Rama Bilateral {decreto nº 228}</t>
  </si>
  <si>
    <t>Cáncer de Próstata . {decreto nº 228}</t>
  </si>
  <si>
    <t>Artrosis de Caderas Derecha {decreto nº 228}</t>
  </si>
  <si>
    <t>Cáncer Colorectal 15 Años y Más . {decreto n° 4/2013}</t>
  </si>
  <si>
    <t>Artrosis de Caderas Izquierda {decreto nº 228}</t>
  </si>
  <si>
    <t>Hipoacusia Bilateral Adulto Uso de Audífono Requerido . {decreto nº 44}</t>
  </si>
  <si>
    <t>Asma Bronquial 15 Años y Más . {decreto n° 1/2010}</t>
  </si>
  <si>
    <t>Artrosis de Cadera y/o Rodilla Leve o Moderada Artrosis de Cadera Leve o Moderada {decreto nº 44}</t>
  </si>
  <si>
    <t>Neumonía . {decreto nº 228}</t>
  </si>
  <si>
    <t>Hipoacusia bilateral del Prematuro . {decreto n° 1/2010}</t>
  </si>
  <si>
    <t>Cáncer de Testículo en Adultos Izquierda {decreto nº 228}</t>
  </si>
  <si>
    <t>Accidente Cerebrovascular . {decreto nº 228}</t>
  </si>
  <si>
    <t>Asma Bronquial . {decreto nº 228}</t>
  </si>
  <si>
    <t>Tratamiento Erradicación HELICOBACTER PYLORI . {decreto n° 4/2013}</t>
  </si>
  <si>
    <t>Analgesia del Parto . {decreto nº 44}</t>
  </si>
  <si>
    <t>ENFERMEDAD RENAL CRÓNICA ETAPA 4 Y 5 . {decreto nº 228}</t>
  </si>
  <si>
    <t>Fibrosis Quística . {decreto nº 44}</t>
  </si>
  <si>
    <t>Infarto Agudo del Miocardio Infarto Agudo del Miocardio {decreto nº 228}</t>
  </si>
  <si>
    <t>Enfermedad Pulmonar Obstructiva Crónica . {decreto nº 228}</t>
  </si>
  <si>
    <t>Leucemia Adulto Leucemia Crónica {decreto nº 44}</t>
  </si>
  <si>
    <t>Retinopatía del Prematuro . {decreto n° 1/2010}</t>
  </si>
  <si>
    <t>ENFERMEDAD RENAL CRÓNICA ETAPA 4 Y 5 . {decreto nº 170}</t>
  </si>
  <si>
    <t>Hipotiroidismo en Personas de 15 Años y Más . {decreto n° 4/2013}</t>
  </si>
  <si>
    <t>Trauma Ocular Grave . {decreto nº 44}</t>
  </si>
  <si>
    <t>Cáncer Cervicouterino Invasor {decreto nº 228}</t>
  </si>
  <si>
    <t>Tumores Primarios SNC . {decreto nº 44}</t>
  </si>
  <si>
    <t>Cáncer de Testículo en Adultos Derecha {decreto nº 228}</t>
  </si>
  <si>
    <t>Enfermedad de Parkinson . {decreto n° 1/2010}</t>
  </si>
  <si>
    <t>Diabetes Mellitus Tipo 1 Diabetes Mellitus I {decreto nº 228}</t>
  </si>
  <si>
    <t>Artritis Reumatoide . {decreto nº 44}</t>
  </si>
  <si>
    <t>Hernia Núcleo Pulposo Lumbar . {decreto nº 44}</t>
  </si>
  <si>
    <t>GES Retrasadas Región de Coquimbo</t>
  </si>
  <si>
    <t>Leucemia Adulto Leucemia Aguda {decreto nº 44}</t>
  </si>
  <si>
    <t>Artrosis de Cadera y/o Rodilla Leve o Moderada Artrosis de Rodilla Leve o Moderada {decreto nº 44}</t>
  </si>
  <si>
    <t>Infección Respiratoria Aguda . {decreto nº 228}</t>
  </si>
  <si>
    <t>Epilepsia No Refractaria . {decreto nº 228}</t>
  </si>
  <si>
    <t>Desprendimiento de Retina . {decreto nº 228}</t>
  </si>
  <si>
    <t>CORTE 08/05/2018</t>
  </si>
  <si>
    <t>CORTE 05/06/2018</t>
  </si>
  <si>
    <t>HOSPITALES</t>
  </si>
  <si>
    <t>COMUNAS APS</t>
  </si>
  <si>
    <t>Corte 30-05-2018 LE SIGTE</t>
  </si>
  <si>
    <t>Corte 30-05-201 Egresos SIGTE</t>
  </si>
  <si>
    <t>META MINSAL
25%
LE TOTAL 2017</t>
  </si>
  <si>
    <t>1.1</t>
  </si>
  <si>
    <t>1.2</t>
  </si>
  <si>
    <t>Esclerosis Múltiple Remitente Recurrente . {decreto n° 1/2010}</t>
  </si>
  <si>
    <t>Salud Oral . {decreto nº 228}</t>
  </si>
  <si>
    <t>Salud Oral Adulto . {decreto nº 44}</t>
  </si>
  <si>
    <t>Corte 17/07/2018</t>
  </si>
  <si>
    <t>CORTE 17/07/2018</t>
  </si>
  <si>
    <t>Prematurez Prevención parto prematuro {decreto nº 228}</t>
  </si>
  <si>
    <t>Politraumatizado Grave Politraumatismo con Lesión Medular {decreto nº 44}</t>
  </si>
  <si>
    <t>Traumatismo Craneoencefálico Moderado o Grave . {decreto nº 44}</t>
  </si>
  <si>
    <t>Corte 30-06-2018 LE SIGTE</t>
  </si>
  <si>
    <t>Corte 30-06-2018 Egresos SIGTE</t>
  </si>
  <si>
    <t>EGRESOS 2018</t>
  </si>
  <si>
    <t>% EGRESOS</t>
  </si>
  <si>
    <t>NO PLAN
(01-01-2018 AL 14-03-2018)</t>
  </si>
  <si>
    <t>% DISMINUCION TOTAL</t>
  </si>
  <si>
    <t>META COMGES
3° CORTE
SEPTIEMBRE 2018
70%</t>
  </si>
  <si>
    <t>Corte 30-07-2018 LE SIGTE</t>
  </si>
  <si>
    <t>Corte 30-07-2018 Egresos SIGTE</t>
  </si>
  <si>
    <t>Lista de Espera CNE Establecimientos Mayor Complejidad</t>
  </si>
  <si>
    <t>Lista Espera CNE establecimiento de Mediana Complejidad</t>
  </si>
  <si>
    <t>Lista Espera CNE MUNICIPIOS</t>
  </si>
  <si>
    <t>LE CNE según nivel y Especialidad Destino</t>
  </si>
  <si>
    <t>Etiquetas de fila</t>
  </si>
  <si>
    <t>MAYOR COMPLEJIDAD</t>
  </si>
  <si>
    <t>Hospital San Juan de Dios (La Serena)</t>
  </si>
  <si>
    <t>Hospital Dr. Humberto Elorza Cortés (Illapel)</t>
  </si>
  <si>
    <t>Centro de Salud Familiar Dr. Sergio Aguilar Delgado</t>
  </si>
  <si>
    <t>Centro de Salud Familiar Santa Cecilia</t>
  </si>
  <si>
    <t>Centro de Salud Familiar Jorge Jordán Domic</t>
  </si>
  <si>
    <t>Centro de Salud Familiar San Juan</t>
  </si>
  <si>
    <t>Centro de Salud Familiar Tongoy</t>
  </si>
  <si>
    <t>Centro de Salud Familiar Marcos Macuada</t>
  </si>
  <si>
    <t>Centro de Salud Familiar Canela</t>
  </si>
  <si>
    <t>Centro de Salud Familiar Punitaqui</t>
  </si>
  <si>
    <t>Hospital de Salamanca</t>
  </si>
  <si>
    <t>Centro Comunitario de Salud Familiar San José de la Dehesa</t>
  </si>
  <si>
    <t>Centro de Salud Familiar La Higuera</t>
  </si>
  <si>
    <t>Centro de Salud Familiar El Palqui</t>
  </si>
  <si>
    <t>Centro de Salud Familiar Monte Patria</t>
  </si>
  <si>
    <t>Centro de Salud Familiar Cerrillos de Tamaya</t>
  </si>
  <si>
    <t>Hospital Dr. José Arraño (Andacollo)</t>
  </si>
  <si>
    <t>Corte 30-05-2018</t>
  </si>
  <si>
    <t>Hospital Dr. Antonio Tirado Lanas (Ovalle)</t>
  </si>
  <si>
    <t>CONSULTORIO</t>
  </si>
  <si>
    <t>MEDIANA COMPLEJIDAD</t>
  </si>
  <si>
    <t>Hospital San Pablo (Coquimbo)</t>
  </si>
  <si>
    <t>BAJA COMPLEJIDAD</t>
  </si>
  <si>
    <t xml:space="preserve">Lista espera Total IQ por Grupos </t>
  </si>
  <si>
    <t>Lista espera Total IQ por Establecimientos</t>
  </si>
  <si>
    <t>Grupo IQ</t>
  </si>
  <si>
    <t>Establecimiento Destino</t>
  </si>
  <si>
    <t>TRAUMATOLOGIA</t>
  </si>
  <si>
    <t>GASTROENTEROLOGIA</t>
  </si>
  <si>
    <t>CIRUGIA OTORRINOLARINGOLOGIA</t>
  </si>
  <si>
    <t>GINECOLOGIA Y OBSTETRICIA</t>
  </si>
  <si>
    <t>NEUROLOGIA Y NEUROCIRUGIA</t>
  </si>
  <si>
    <t>UROLOGIA Y NEFROLOGIA</t>
  </si>
  <si>
    <t>DERMATOLOGI Y TEGUMANTOS</t>
  </si>
  <si>
    <t>CIRUGIA OFTALMICA</t>
  </si>
  <si>
    <t>CIRUGIA CARDIOVASCULAR</t>
  </si>
  <si>
    <t>CIRUGIA PLASTICA Y REPARADORA</t>
  </si>
  <si>
    <t>CIRUGIA CABEZA Y CUELLO</t>
  </si>
  <si>
    <t>Corte 30-06-2018</t>
  </si>
  <si>
    <t>Corte 23-04-2018</t>
  </si>
  <si>
    <t>HOSPITAL DE ANDACOLLO</t>
  </si>
  <si>
    <t>Variacion Mensual 2018</t>
  </si>
  <si>
    <t>Corte 30-12-2017</t>
  </si>
  <si>
    <t>Lista de Espera Consulta Nueva de Especialidad Region Coquimbo</t>
  </si>
  <si>
    <t>Corte 30-07-2018</t>
  </si>
  <si>
    <t>Corte 30-08-2018</t>
  </si>
  <si>
    <t>Corte 30-09-2018</t>
  </si>
  <si>
    <t>Corte 30-10-2018</t>
  </si>
  <si>
    <t>Corte 30-11-2018</t>
  </si>
  <si>
    <t>Corte 30-12-2018</t>
  </si>
  <si>
    <t>Variacion Mensual EAR 2018</t>
  </si>
  <si>
    <t>Variacion Mensual Mediana Complejidad 2018</t>
  </si>
  <si>
    <t>Lista Espera CNE Hospitales Baja Complejidad</t>
  </si>
  <si>
    <t>|</t>
  </si>
  <si>
    <t>Variacion Mensual Baja Complejidad</t>
  </si>
  <si>
    <t>Variacion Mensual Minicipios</t>
  </si>
  <si>
    <t>Corte 30-05- 2018</t>
  </si>
  <si>
    <t>Corte 31-12-2017</t>
  </si>
  <si>
    <t>Corte 30-07- 2018</t>
  </si>
  <si>
    <t>ENDODONCIA</t>
  </si>
  <si>
    <t>REHABILITACIÓN ORAL</t>
  </si>
  <si>
    <t>PERIODONCIA</t>
  </si>
  <si>
    <t>CIRUGÍA BUCAL</t>
  </si>
  <si>
    <t>ODONTOPEDIATRÍA</t>
  </si>
  <si>
    <t>TRASTORNOS TEMPOROMANDIBULARES Y DOLOR OROFACIAL</t>
  </si>
  <si>
    <t>CIRUGÍA Y TRAUMATOLOGÍA BUCO MAXILOFACIAL</t>
  </si>
  <si>
    <t>ORTODONCIA Y ORTOPEDIA DENTO MÁXILO FACIAL</t>
  </si>
  <si>
    <r>
      <t xml:space="preserve">LE CN Odontologica según nivel y Especialidad Destino </t>
    </r>
    <r>
      <rPr>
        <b/>
        <sz val="14"/>
        <color rgb="FFFF0000"/>
        <rFont val="Calibri"/>
        <family val="2"/>
        <scheme val="minor"/>
      </rPr>
      <t>sin Ortodoncia</t>
    </r>
  </si>
  <si>
    <t>Corte 30-08-2018 LE SIGTE</t>
  </si>
  <si>
    <t>Corte 30-08-2018 Egresos SIGTE</t>
  </si>
  <si>
    <t>Centro Comunitario de Salud Familiar Lambert</t>
  </si>
  <si>
    <t>Centro Comunitario de Salud Familiar Villa el Indio</t>
  </si>
  <si>
    <t>Centro de Salud Familiar Cardenal Caro</t>
  </si>
  <si>
    <t>Centro de Salud Familiar Cardenal Raúl Silva Henríquez de La Serena</t>
  </si>
  <si>
    <t>Centro de Salud Familiar Chañaral Alto</t>
  </si>
  <si>
    <t>Centro de Salud Familiar Dr. Emilio Schaffhauser</t>
  </si>
  <si>
    <t>Centro de Salud Familiar Juan Pablo II</t>
  </si>
  <si>
    <t>Centro de Salud Familiar Las Compañías</t>
  </si>
  <si>
    <t>Centro de Salud Familiar Paihuano</t>
  </si>
  <si>
    <t>Centro de Salud Familiar Pedro Aguirre Cerda</t>
  </si>
  <si>
    <t>Centro de Salud Familiar Tierras Blancas</t>
  </si>
  <si>
    <t>Posta de Salud Rural Camisa</t>
  </si>
  <si>
    <t>Posta de Salud Rural Cuncumén(Salamanca)</t>
  </si>
  <si>
    <t>Posta de Salud Rural Pintacura Sur</t>
  </si>
  <si>
    <t>Posta de Salud Rural San Agustín (Salamanca)</t>
  </si>
  <si>
    <t>Posta de Salud Rural Tahuinco</t>
  </si>
  <si>
    <t>Hospital San Juan de Dios (Combarbalá)</t>
  </si>
  <si>
    <t>Hospital San Juan de Dios (Vicuña)</t>
  </si>
  <si>
    <t>Hospital San Pedro (Los Vilos)</t>
  </si>
  <si>
    <t>Centro de Salud Familiar Carén</t>
  </si>
  <si>
    <t>ANESTESIOLOGÍA</t>
  </si>
  <si>
    <t>CARDIOLOGÍA</t>
  </si>
  <si>
    <t>CARDIOLOGÍA PEDIÁTRICA</t>
  </si>
  <si>
    <t>CIRUGÍA DE CABEZA, CUELLO Y MAXILOFACIAL</t>
  </si>
  <si>
    <t>CIRUGÍA DE MAMA</t>
  </si>
  <si>
    <t>CIRUGÍA DE TÓRAX</t>
  </si>
  <si>
    <t>CIRUGÍA DIGESTIVA</t>
  </si>
  <si>
    <t>CIRUGÍA GENERAL</t>
  </si>
  <si>
    <t>CIRUGÍA PEDIÁTRICA</t>
  </si>
  <si>
    <t>CIRUGÍA PLÁSTICA Y REPARADORA</t>
  </si>
  <si>
    <t>CIRUGÍA VASCULAR PERIFÉRICA</t>
  </si>
  <si>
    <t>COLOPROCTOLOGÍA</t>
  </si>
  <si>
    <t>DERMATOLOGÍA</t>
  </si>
  <si>
    <t>DIABETOLOGÍA</t>
  </si>
  <si>
    <t>ENDOCRINOLOGÍA ADULTO</t>
  </si>
  <si>
    <t>ENDOCRINOLOGÍA PEDIÁTRICA</t>
  </si>
  <si>
    <t>ENF. TRASMISIÓN SEXUAL</t>
  </si>
  <si>
    <t>ENFERMEDADES RESPIRATORIAS DEL ADULTO (BRONCOPULMONAR)</t>
  </si>
  <si>
    <t>ENFERMEDADES RESPIRATORIAS PEDIÁTRICAS (BRONCOPULMONAR PEDIATRICO)</t>
  </si>
  <si>
    <t>GASTROENTEROLOGÍA ADULTO</t>
  </si>
  <si>
    <t>GASTROENTEROLOGÍA PEDIÁTRICA</t>
  </si>
  <si>
    <t>GINECOLOGÍA</t>
  </si>
  <si>
    <t>GINECOLOGÍA PEDIÁTRICA Y DE LA ADOLESCENCIA</t>
  </si>
  <si>
    <t>HEMATOLOGÍA</t>
  </si>
  <si>
    <t>HEMATO-ONCOLOGÍA PEDIÁTRICA</t>
  </si>
  <si>
    <t>INFECTOLOGÍA</t>
  </si>
  <si>
    <t>MEDICINA FÍSICA Y REHABILITACIÓN (FISIATRIA ADULTO)</t>
  </si>
  <si>
    <t>MEDICINA FISICA Y REHABILITACIÓN PEDIÁTRICA (FISIATRIA PEDIATRICA)</t>
  </si>
  <si>
    <t>MEDICINA INTERNA</t>
  </si>
  <si>
    <t>NEFROLOGÍA ADULTO</t>
  </si>
  <si>
    <t>NEFROLOGÍA PEDIÁTRICO</t>
  </si>
  <si>
    <t>NEUROCIRUGÍA</t>
  </si>
  <si>
    <t>NEUROLOGÍA ADULTO</t>
  </si>
  <si>
    <t>NEUROLOGÍA PEDIÁTRICA</t>
  </si>
  <si>
    <t>OBSTETRICIA</t>
  </si>
  <si>
    <t>OFTALMOLOGÍA</t>
  </si>
  <si>
    <t>ONCOLOGÍA MÉDICA</t>
  </si>
  <si>
    <t>OTORRINOLARINGOLOGÍA</t>
  </si>
  <si>
    <t>PEDIATRÍA</t>
  </si>
  <si>
    <t>PSIQUIATRÍA ADULTO</t>
  </si>
  <si>
    <t>PSIQUIATRÍA PEDIÁTRICA Y DE LA ADOLESCENCIA</t>
  </si>
  <si>
    <t>RADIOTERAPIA ONCOLÓGICA</t>
  </si>
  <si>
    <t>REUMATOLOGÍA</t>
  </si>
  <si>
    <t>REUMATOLOGÍA PEDIÁTRICA</t>
  </si>
  <si>
    <t>SALUD OCUPACIONAL</t>
  </si>
  <si>
    <t>TRAUMATOLOGÍA Y ORTOPEDIA</t>
  </si>
  <si>
    <t>TRAUMATOLOGÍA Y ORTOPEDIA PEDIÁTRICA</t>
  </si>
  <si>
    <t>UAPO Coquimbo</t>
  </si>
  <si>
    <t>UROLOGÍA</t>
  </si>
  <si>
    <t>UROLOGÍA PEDIÁTRICA</t>
  </si>
  <si>
    <t>UAPO Ovalle</t>
  </si>
  <si>
    <t>Centro de Salud Familiar Sotaquí</t>
  </si>
  <si>
    <t>Posta de Salud Rural Matancilla</t>
  </si>
  <si>
    <t>Posta de Salud Rural Tunga Norte</t>
  </si>
  <si>
    <r>
      <t xml:space="preserve">LE CN Odontologica EAR </t>
    </r>
    <r>
      <rPr>
        <b/>
        <sz val="14"/>
        <color rgb="FFFF0000"/>
        <rFont val="Calibri"/>
        <family val="2"/>
        <scheme val="minor"/>
      </rPr>
      <t>sin ortodoncia</t>
    </r>
  </si>
  <si>
    <r>
      <t>LE CN Odontologica Mediana Complejidad</t>
    </r>
    <r>
      <rPr>
        <b/>
        <sz val="14"/>
        <color rgb="FFFF0000"/>
        <rFont val="Calibri"/>
        <family val="2"/>
        <scheme val="minor"/>
      </rPr>
      <t xml:space="preserve"> sin Ortodoncia</t>
    </r>
  </si>
  <si>
    <r>
      <t xml:space="preserve">LE CN Odontologica Baja Complejidad </t>
    </r>
    <r>
      <rPr>
        <b/>
        <sz val="14"/>
        <color rgb="FFFF0000"/>
        <rFont val="Calibri"/>
        <family val="2"/>
        <scheme val="minor"/>
      </rPr>
      <t>sin Ortodoncia</t>
    </r>
  </si>
  <si>
    <r>
      <t xml:space="preserve">LE CN Odontologica CONSULTORIOS </t>
    </r>
    <r>
      <rPr>
        <b/>
        <sz val="14"/>
        <color rgb="FFFF0000"/>
        <rFont val="Calibri"/>
        <family val="2"/>
        <scheme val="minor"/>
      </rPr>
      <t>sin Ortodoncia</t>
    </r>
  </si>
  <si>
    <t>PLAN MINISTERIAL 
DISMINUCION DEL 25% LE IQ</t>
  </si>
  <si>
    <t>PLAN MINISTERIAL N°1
CONSIDERA EGRESOS DE IQ ENTRE 15-03-2018 AL 31-07-2018
CON FECHA ENTRADA ANTERIOR 
AL 01-01-2018</t>
  </si>
  <si>
    <t>Síndrome de Dificultad Respiratoria . {decreto nº 228}</t>
  </si>
  <si>
    <t>CORTE 21/08/2018</t>
  </si>
  <si>
    <t>Meta COMGES y Cumplimiento</t>
  </si>
  <si>
    <t>Meta COMGES y Cumplimiento Hospitales y Comunas</t>
  </si>
  <si>
    <t>GO Retrasadas Establecimiento Hospitales y Comunas</t>
  </si>
  <si>
    <t>Introduccion</t>
  </si>
  <si>
    <t>A continuacion, encontrará informacion mensual referente a las Listas de espera totales, y su cumplimiento de COMGES para el año solicitado.</t>
  </si>
  <si>
    <t>Centro de Salud Familiar Urbano de Illapel</t>
  </si>
  <si>
    <t>PLAN MINISTERIAL N°2
REDUCCION LE &lt; 2017</t>
  </si>
  <si>
    <t>LB MINSAL
LE &lt; 2017
(al cierre julio 2018)</t>
  </si>
  <si>
    <t>CONSIDERA EGRESOS DE IQ ENTRE 01-08-2018 AL 31-12-2018
CON FECHA ENTRADA ANTERIOR 
AL 01-01-2017</t>
  </si>
  <si>
    <t>% CUMPLIMIENTO PLAN N°2</t>
  </si>
  <si>
    <t>PACIENTES DE HOSPITAL DE LOS VILOS FUERON RE - DERIVADOS: 2 A HLS Y 7 A HILL</t>
  </si>
  <si>
    <t>TOTAL EGRESOS</t>
  </si>
  <si>
    <t>% CUMPLIMIENTO PLAN N°1</t>
  </si>
  <si>
    <t>HOSPITAL DE COMBARBALA</t>
  </si>
  <si>
    <t>OPERATORIA</t>
  </si>
  <si>
    <t>Corte 30-09-2018 LE SIGTE</t>
  </si>
  <si>
    <t>Corte 30-09-2018 Egresos SIGTE</t>
  </si>
  <si>
    <t>H. COQUIMBO</t>
  </si>
  <si>
    <t>H. DE OVALLE</t>
  </si>
  <si>
    <t>H. DE ILLAPEL</t>
  </si>
  <si>
    <t>H. ANDACOLLO</t>
  </si>
  <si>
    <t>H. COMBARBALA</t>
  </si>
  <si>
    <t>H. LOS VILOS</t>
  </si>
  <si>
    <t>H. SALAMANCA</t>
  </si>
  <si>
    <t>H. VICUÑA</t>
  </si>
  <si>
    <t>C. CANELA</t>
  </si>
  <si>
    <t>C. COQUIMBO</t>
  </si>
  <si>
    <t>C. ILLAPEL</t>
  </si>
  <si>
    <t>C. LA HIGUERA</t>
  </si>
  <si>
    <t>C. LA SERENA</t>
  </si>
  <si>
    <t>C. MONTE PATRIA</t>
  </si>
  <si>
    <t>C. OVALLE</t>
  </si>
  <si>
    <t>C. PAIHUANO</t>
  </si>
  <si>
    <t>C. PUNITAQUI</t>
  </si>
  <si>
    <t>C. SALAMANCA</t>
  </si>
  <si>
    <t>C. RIO HURTADO</t>
  </si>
  <si>
    <t>CORTE 20/09/2018</t>
  </si>
  <si>
    <t>Cáncer de Ovario Epitelial . {decreto n° 4/2013}</t>
  </si>
  <si>
    <t>INMUNOLOGÍA</t>
  </si>
  <si>
    <t>UAPO J. Pablo II</t>
  </si>
  <si>
    <t>TOTAL</t>
  </si>
  <si>
    <t>Centro de Salud Familiar El Sauce</t>
  </si>
  <si>
    <t>Corte 31-10-2018 LE SIGTE</t>
  </si>
  <si>
    <t>Corte 31-10-2018 Egresos SIGTE</t>
  </si>
  <si>
    <t>ILLAPEL</t>
  </si>
  <si>
    <r>
      <t xml:space="preserve">LE CN Odontologica  Especialidad </t>
    </r>
    <r>
      <rPr>
        <b/>
        <sz val="14"/>
        <color rgb="FFFF0000"/>
        <rFont val="Calibri"/>
        <family val="2"/>
        <scheme val="minor"/>
      </rPr>
      <t>Ortodoncia</t>
    </r>
  </si>
  <si>
    <t>MONITOREO MENSUAL</t>
  </si>
  <si>
    <t xml:space="preserve">Corte </t>
  </si>
  <si>
    <t>Lista de Espera SIGTE</t>
  </si>
  <si>
    <t>Egresos SIGTE</t>
  </si>
  <si>
    <t>FECHA CORTE 31-10-2018</t>
  </si>
  <si>
    <t>COMGES 2018
CONSIDERA EGRESOS DESDE ENERO A FECHA DE CORTE</t>
  </si>
  <si>
    <t>EGRESOS
COMGES 2018
CIERRE SEPTIEMBRE 2018</t>
  </si>
  <si>
    <t>% Egreso COMGES
CIERRE SEPTIEMBRE 2018</t>
  </si>
  <si>
    <t>META COMGES
4° CORTE
DICIEMBRE 2018
100%</t>
  </si>
  <si>
    <t>EGRESOS
COMGES 2018
FECHA CORTE</t>
  </si>
  <si>
    <t>% Egreso COMGES
FECHA CORTE</t>
  </si>
  <si>
    <r>
      <t xml:space="preserve">CONSIDERA EGRESOS DESDE </t>
    </r>
    <r>
      <rPr>
        <b/>
        <u/>
        <sz val="11"/>
        <color rgb="FFFF0000"/>
        <rFont val="Calibri"/>
        <family val="2"/>
      </rPr>
      <t>15 MARZO HASTA FECHA CORTE</t>
    </r>
    <r>
      <rPr>
        <b/>
        <sz val="11"/>
        <color rgb="FFFF0000"/>
        <rFont val="Calibri"/>
        <family val="2"/>
      </rPr>
      <t xml:space="preserve"> PARA COMPROMISO MINISTERIAL</t>
    </r>
  </si>
  <si>
    <r>
      <t xml:space="preserve">PLAN MINISTERIAL
CONSIDERA EGRESOS DE IQ ENTRE 01-08-2018 AL 15-08-2018
CON FECHA ENTRADA </t>
    </r>
    <r>
      <rPr>
        <b/>
        <sz val="10"/>
        <color rgb="FFFFFF00"/>
        <rFont val="Calibri"/>
        <family val="2"/>
      </rPr>
      <t>AÑO 2017</t>
    </r>
  </si>
  <si>
    <t>Observaciones</t>
  </si>
  <si>
    <t>AUGE</t>
  </si>
  <si>
    <t>CORTE 30/10/2018</t>
  </si>
  <si>
    <t>Corte 30 de Octubre de 2018</t>
  </si>
  <si>
    <t>Disrrafias Espinales Disrrafia Cerrada {decreto nº 228}</t>
  </si>
  <si>
    <t>Los PS Vicios de Refraccion y  Ortesis, lideran la LE regional, abarcando el 54,27% de las GO Retrasadas</t>
  </si>
  <si>
    <t>% egresadaas</t>
  </si>
  <si>
    <t>% pendiente</t>
  </si>
  <si>
    <t>PAIHUANO</t>
  </si>
  <si>
    <t>RIO HURTADO</t>
  </si>
  <si>
    <t>ANDACOLLO</t>
  </si>
  <si>
    <t>COMBARBALA</t>
  </si>
  <si>
    <t>LOS VILOS</t>
  </si>
  <si>
    <t>VICUÑA</t>
  </si>
  <si>
    <t>Disminución LE</t>
  </si>
  <si>
    <r>
      <t xml:space="preserve">Lista Espera </t>
    </r>
    <r>
      <rPr>
        <b/>
        <u/>
        <sz val="11"/>
        <color theme="1"/>
        <rFont val="Calibri"/>
        <family val="2"/>
        <scheme val="minor"/>
      </rPr>
      <t>Total</t>
    </r>
    <r>
      <rPr>
        <b/>
        <sz val="11"/>
        <color theme="1"/>
        <rFont val="Calibri"/>
        <family val="2"/>
        <scheme val="minor"/>
      </rPr>
      <t xml:space="preserve"> Consultas Nuevas de Especialidad, por Nivel y Establecimiento</t>
    </r>
  </si>
  <si>
    <r>
      <t xml:space="preserve">Lista Espera </t>
    </r>
    <r>
      <rPr>
        <b/>
        <u/>
        <sz val="11"/>
        <color theme="1"/>
        <rFont val="Calibri"/>
        <family val="2"/>
        <scheme val="minor"/>
      </rPr>
      <t>Total</t>
    </r>
    <r>
      <rPr>
        <b/>
        <sz val="11"/>
        <color theme="1"/>
        <rFont val="Calibri"/>
        <family val="2"/>
        <scheme val="minor"/>
      </rPr>
      <t xml:space="preserve"> por Nivel y Establecimiento</t>
    </r>
  </si>
  <si>
    <r>
      <rPr>
        <b/>
        <sz val="11"/>
        <color rgb="FFFF0000"/>
        <rFont val="Calibri"/>
        <family val="2"/>
        <scheme val="minor"/>
      </rPr>
      <t>78,2%</t>
    </r>
    <r>
      <rPr>
        <sz val="11"/>
        <color theme="1"/>
        <rFont val="Calibri"/>
        <family val="2"/>
        <scheme val="minor"/>
      </rPr>
      <t xml:space="preserve"> de cumplimiento de COMGES, reduccion de tiempos de epera de Consultas Nuevas de Especialidad, de un universo total de 17070, lo cual esta bajo el </t>
    </r>
    <r>
      <rPr>
        <b/>
        <sz val="11"/>
        <color rgb="FFFF0000"/>
        <rFont val="Calibri"/>
        <family val="2"/>
        <scheme val="minor"/>
      </rPr>
      <t>83,3%</t>
    </r>
    <r>
      <rPr>
        <sz val="11"/>
        <color theme="1"/>
        <rFont val="Calibri"/>
        <family val="2"/>
        <scheme val="minor"/>
      </rPr>
      <t xml:space="preserve"> que se espera al decimo mes de año.</t>
    </r>
  </si>
  <si>
    <t>EAR</t>
  </si>
  <si>
    <t>Mediana</t>
  </si>
  <si>
    <t>Baja</t>
  </si>
  <si>
    <t xml:space="preserve">Con respecto al año anterior, se mantiene el mismo numero de GO retrazadas. 
Con respecto al mes anterior, se evidencia una disminucion de un 15% de las GO Retrasadas. </t>
  </si>
  <si>
    <r>
      <t xml:space="preserve">El 83% de las GO Retrasadas en el corte, corresponde a los establecimientos de Mayor Complejidad, destacandose el Hospital La Serena con un </t>
    </r>
    <r>
      <rPr>
        <b/>
        <sz val="11"/>
        <color theme="4"/>
        <rFont val="Calibri"/>
        <family val="2"/>
        <scheme val="minor"/>
      </rPr>
      <t>78%</t>
    </r>
    <r>
      <rPr>
        <sz val="11"/>
        <color theme="1"/>
        <rFont val="Calibri"/>
        <family val="2"/>
        <scheme val="minor"/>
      </rPr>
      <t xml:space="preserve"> Regional</t>
    </r>
  </si>
  <si>
    <r>
      <rPr>
        <b/>
        <sz val="11"/>
        <color rgb="FF00B050"/>
        <rFont val="Calibri"/>
        <family val="2"/>
        <scheme val="minor"/>
      </rPr>
      <t>91,6%</t>
    </r>
    <r>
      <rPr>
        <sz val="11"/>
        <color theme="1"/>
        <rFont val="Calibri"/>
        <family val="2"/>
        <scheme val="minor"/>
      </rPr>
      <t xml:space="preserve"> de cumplimiento de COMGES , reducción de Tiepos de Espera de Intervenciones quirurgicas, en espera del año 2015.
- Plan Ministerial N°1, se logra cumplimiento de un </t>
    </r>
    <r>
      <rPr>
        <b/>
        <sz val="11"/>
        <color rgb="FF00B050"/>
        <rFont val="Calibri"/>
        <family val="2"/>
        <scheme val="minor"/>
      </rPr>
      <t>127%</t>
    </r>
    <r>
      <rPr>
        <sz val="11"/>
        <color theme="1"/>
        <rFont val="Calibri"/>
        <family val="2"/>
        <scheme val="minor"/>
      </rPr>
      <t xml:space="preserve"> de ejecusion.
- Plan Ministerila N° 2, cumpiendo un </t>
    </r>
    <r>
      <rPr>
        <b/>
        <sz val="11"/>
        <color rgb="FF00B050"/>
        <rFont val="Calibri"/>
        <family val="2"/>
        <scheme val="minor"/>
      </rPr>
      <t>38,9%</t>
    </r>
  </si>
  <si>
    <t>Indicador COMGES 3.2 Porcentaje de casos resueltos de lista de espera por Intervenciones Quirúrgica Electiva, ingresados con fecha igual o anterior al 31 de diciembre del 2015.</t>
  </si>
  <si>
    <t>Meta Nacional al 2018: Resolver el 100% de la lista de espera quirúrgica electiva, de personas ingresadas con fecha igual o anterior al 31 de diciembre del 2015.</t>
  </si>
  <si>
    <t>FUENTE INFORMACION  RNLE  11-01-2018</t>
  </si>
  <si>
    <t>LISTA ESPERA INTERVENCIONES QUIRURGICAS 31-12-2017 (Línea Base)</t>
  </si>
  <si>
    <t>TOTAL LISTA ESPERA IQx</t>
  </si>
  <si>
    <t>COMGES 2018
(&lt;= 2015)</t>
  </si>
  <si>
    <t>HOSPITAL LOS VILOS</t>
  </si>
  <si>
    <t>COMBARBALÁ</t>
  </si>
  <si>
    <r>
      <t xml:space="preserve">Indicador COMGES 3.3 Porcentaje de casos resueltos de Lista de Espera de Consulta Nueva de Especialidad Odontologíca </t>
    </r>
    <r>
      <rPr>
        <b/>
        <sz val="14"/>
        <color rgb="FFFF0000"/>
        <rFont val="Calibri"/>
        <family val="2"/>
      </rPr>
      <t>(Excluye Ortodoncia)</t>
    </r>
    <r>
      <rPr>
        <b/>
        <sz val="14"/>
        <color indexed="8"/>
        <rFont val="Calibri"/>
        <family val="2"/>
      </rPr>
      <t>, ingresadas con fecha igual o anterior al 31 de diciembre del 2014.</t>
    </r>
  </si>
  <si>
    <r>
      <t>Meta Nacional al 2018.-</t>
    </r>
    <r>
      <rPr>
        <sz val="14"/>
        <color theme="1"/>
        <rFont val="Calibri"/>
        <family val="2"/>
        <scheme val="minor"/>
      </rPr>
      <t xml:space="preserve">  Resolver el 100% de la Lista de Espera por Consulta Nueva de Especialidad Odontologica </t>
    </r>
    <r>
      <rPr>
        <sz val="14"/>
        <color rgb="FFFF0000"/>
        <rFont val="Calibri"/>
        <family val="2"/>
        <scheme val="minor"/>
      </rPr>
      <t>(Excluye Ortodoncia)</t>
    </r>
    <r>
      <rPr>
        <sz val="14"/>
        <color theme="1"/>
        <rFont val="Calibri"/>
        <family val="2"/>
        <scheme val="minor"/>
      </rPr>
      <t xml:space="preserve"> de personas Ingresadas con fecha igual o anterior al 31.12.2014</t>
    </r>
  </si>
  <si>
    <t>3.2 TOTAL</t>
  </si>
  <si>
    <t>3.1 TOTAL</t>
  </si>
  <si>
    <t>3.3 TOTAL</t>
  </si>
  <si>
    <t>CESFAM PEDRO AGUIRRE CERDA</t>
  </si>
  <si>
    <r>
      <rPr>
        <b/>
        <sz val="11"/>
        <color rgb="FFFF0000"/>
        <rFont val="Calibri"/>
        <family val="2"/>
        <scheme val="minor"/>
      </rPr>
      <t>83,1%</t>
    </r>
    <r>
      <rPr>
        <sz val="11"/>
        <color theme="1"/>
        <rFont val="Calibri"/>
        <family val="2"/>
        <scheme val="minor"/>
      </rPr>
      <t xml:space="preserve"> de cumplimiento de COMGES, reduccion de tiempos de epera de Consultas Nuevas Odontologicas, de un universo total de 1358.</t>
    </r>
  </si>
  <si>
    <r>
      <t xml:space="preserve">La Lista espera total a disminuido un </t>
    </r>
    <r>
      <rPr>
        <b/>
        <sz val="11"/>
        <color rgb="FF00B050"/>
        <rFont val="Calibri"/>
        <family val="2"/>
        <scheme val="minor"/>
      </rPr>
      <t xml:space="preserve">9%, </t>
    </r>
    <r>
      <rPr>
        <sz val="11"/>
        <rFont val="Calibri"/>
        <family val="2"/>
        <scheme val="minor"/>
      </rPr>
      <t xml:space="preserve">a pesar de las OA generadas este </t>
    </r>
    <r>
      <rPr>
        <sz val="11"/>
        <color theme="1"/>
        <rFont val="Calibri"/>
        <family val="2"/>
        <scheme val="minor"/>
      </rPr>
      <t xml:space="preserve">año 2018, lo que evidencia una disminucion en los años anteriores lo cual va deacuerdo al COMGES.
- El </t>
    </r>
    <r>
      <rPr>
        <b/>
        <sz val="11"/>
        <color theme="4"/>
        <rFont val="Calibri"/>
        <family val="2"/>
        <scheme val="minor"/>
      </rPr>
      <t>51,86%</t>
    </r>
    <r>
      <rPr>
        <sz val="11"/>
        <color theme="1"/>
        <rFont val="Calibri"/>
        <family val="2"/>
        <scheme val="minor"/>
      </rPr>
      <t xml:space="preserve"> del total de las Ordenes de atencoion de IQ, estan derivadas al Hospital de Coquimbo, seguido por un </t>
    </r>
    <r>
      <rPr>
        <b/>
        <sz val="11"/>
        <color theme="4"/>
        <rFont val="Calibri"/>
        <family val="2"/>
        <scheme val="minor"/>
      </rPr>
      <t>23,71% al</t>
    </r>
    <r>
      <rPr>
        <sz val="11"/>
        <color theme="1"/>
        <rFont val="Calibri"/>
        <family val="2"/>
        <scheme val="minor"/>
      </rPr>
      <t xml:space="preserve"> Hospital de Ovalle, y un </t>
    </r>
    <r>
      <rPr>
        <b/>
        <sz val="11"/>
        <color theme="4"/>
        <rFont val="Calibri"/>
        <family val="2"/>
        <scheme val="minor"/>
      </rPr>
      <t xml:space="preserve">18,46 % </t>
    </r>
    <r>
      <rPr>
        <sz val="11"/>
        <color theme="1"/>
        <rFont val="Calibri"/>
        <family val="2"/>
        <scheme val="minor"/>
      </rPr>
      <t xml:space="preserve">del Hospital de la Serena y </t>
    </r>
    <r>
      <rPr>
        <b/>
        <sz val="11"/>
        <color theme="4"/>
        <rFont val="Calibri"/>
        <family val="2"/>
        <scheme val="minor"/>
      </rPr>
      <t xml:space="preserve">6,3% </t>
    </r>
    <r>
      <rPr>
        <sz val="11"/>
        <color theme="1"/>
        <rFont val="Calibri"/>
        <family val="2"/>
        <scheme val="minor"/>
      </rPr>
      <t>Hospital de Illapel</t>
    </r>
  </si>
  <si>
    <r>
      <t xml:space="preserve">La Lista espera total a aumentado un </t>
    </r>
    <r>
      <rPr>
        <b/>
        <sz val="11"/>
        <color rgb="FFFF0000"/>
        <rFont val="Calibri"/>
        <family val="2"/>
        <scheme val="minor"/>
      </rPr>
      <t>14%</t>
    </r>
    <r>
      <rPr>
        <sz val="11"/>
        <color theme="1"/>
        <rFont val="Calibri"/>
        <family val="2"/>
        <scheme val="minor"/>
      </rPr>
      <t xml:space="preserve"> debido a las SIC generadas este año 2018, sin embargo se evidencia una </t>
    </r>
    <r>
      <rPr>
        <b/>
        <sz val="11"/>
        <color theme="1"/>
        <rFont val="Calibri"/>
        <family val="2"/>
        <scheme val="minor"/>
      </rPr>
      <t>disminucion en los años anteriores</t>
    </r>
    <r>
      <rPr>
        <sz val="11"/>
        <color theme="1"/>
        <rFont val="Calibri"/>
        <family val="2"/>
        <scheme val="minor"/>
      </rPr>
      <t xml:space="preserve"> lo cual va deacuerdo al COMGES.
- El </t>
    </r>
    <r>
      <rPr>
        <b/>
        <sz val="11"/>
        <color theme="4"/>
        <rFont val="Calibri"/>
        <family val="2"/>
        <scheme val="minor"/>
      </rPr>
      <t>84,65%</t>
    </r>
    <r>
      <rPr>
        <sz val="11"/>
        <color theme="1"/>
        <rFont val="Calibri"/>
        <family val="2"/>
        <scheme val="minor"/>
      </rPr>
      <t xml:space="preserve"> del total de las SIC, estan derivada a los Establecimientos Autogestionados, quedando pendientes</t>
    </r>
    <r>
      <rPr>
        <b/>
        <sz val="11"/>
        <color rgb="FF00B050"/>
        <rFont val="Calibri"/>
        <family val="2"/>
        <scheme val="minor"/>
      </rPr>
      <t xml:space="preserve"> 20,7%</t>
    </r>
    <r>
      <rPr>
        <sz val="11"/>
        <color theme="1"/>
        <rFont val="Calibri"/>
        <family val="2"/>
        <scheme val="minor"/>
      </rPr>
      <t xml:space="preserve">, del COMGES a cumplir.
- el </t>
    </r>
    <r>
      <rPr>
        <b/>
        <sz val="11"/>
        <color theme="4"/>
        <rFont val="Calibri"/>
        <family val="2"/>
        <scheme val="minor"/>
      </rPr>
      <t>5,48%</t>
    </r>
    <r>
      <rPr>
        <sz val="11"/>
        <color theme="1"/>
        <rFont val="Calibri"/>
        <family val="2"/>
        <scheme val="minor"/>
      </rPr>
      <t xml:space="preserve"> de las SIC estan derivadas a Establecimientos de mediana complejidad, aun en espera</t>
    </r>
    <r>
      <rPr>
        <b/>
        <sz val="11"/>
        <color rgb="FF00B050"/>
        <rFont val="Calibri"/>
        <family val="2"/>
        <scheme val="minor"/>
      </rPr>
      <t xml:space="preserve"> 34,9 %</t>
    </r>
    <r>
      <rPr>
        <sz val="11"/>
        <rFont val="Calibri"/>
        <family val="2"/>
        <scheme val="minor"/>
      </rPr>
      <t xml:space="preserve"> rdel COMGES a cumplir.</t>
    </r>
    <r>
      <rPr>
        <sz val="11"/>
        <color theme="1"/>
        <rFont val="Calibri"/>
        <family val="2"/>
        <scheme val="minor"/>
      </rPr>
      <t xml:space="preserve">
- el </t>
    </r>
    <r>
      <rPr>
        <b/>
        <sz val="11"/>
        <color theme="4"/>
        <rFont val="Calibri"/>
        <family val="2"/>
        <scheme val="minor"/>
      </rPr>
      <t xml:space="preserve">1,98% </t>
    </r>
    <r>
      <rPr>
        <sz val="11"/>
        <rFont val="Calibri"/>
        <family val="2"/>
        <scheme val="minor"/>
      </rPr>
      <t xml:space="preserve">de las SIC son derivadas a Hospitales de menor complejidad, asociadas al Programa de Resolutividad en APS, pendiente un </t>
    </r>
    <r>
      <rPr>
        <b/>
        <sz val="11"/>
        <color rgb="FF00B050"/>
        <rFont val="Calibri"/>
        <family val="2"/>
        <scheme val="minor"/>
      </rPr>
      <t>42,03%</t>
    </r>
    <r>
      <rPr>
        <sz val="11"/>
        <rFont val="Calibri"/>
        <family val="2"/>
        <scheme val="minor"/>
      </rPr>
      <t xml:space="preserve"> del COMGES a cumplir.</t>
    </r>
    <r>
      <rPr>
        <sz val="11"/>
        <color theme="1"/>
        <rFont val="Calibri"/>
        <family val="2"/>
        <scheme val="minor"/>
      </rPr>
      <t xml:space="preserve">
- el</t>
    </r>
    <r>
      <rPr>
        <sz val="11"/>
        <color theme="4"/>
        <rFont val="Calibri"/>
        <family val="2"/>
        <scheme val="minor"/>
      </rPr>
      <t xml:space="preserve"> </t>
    </r>
    <r>
      <rPr>
        <b/>
        <sz val="11"/>
        <color theme="4"/>
        <rFont val="Calibri"/>
        <family val="2"/>
        <scheme val="minor"/>
      </rPr>
      <t>7,89%</t>
    </r>
    <r>
      <rPr>
        <sz val="11"/>
        <color theme="1"/>
        <rFont val="Calibri"/>
        <family val="2"/>
        <scheme val="minor"/>
      </rPr>
      <t xml:space="preserve"> de las SIC son derivadas a Estanlecimientos de APS, asociadas al programa de Resolutividad en APS, de las cuales quedan </t>
    </r>
    <r>
      <rPr>
        <b/>
        <sz val="11"/>
        <color rgb="FF00B050"/>
        <rFont val="Calibri"/>
        <family val="2"/>
        <scheme val="minor"/>
      </rPr>
      <t>41,65%</t>
    </r>
    <r>
      <rPr>
        <sz val="11"/>
        <color theme="1"/>
        <rFont val="Calibri"/>
        <family val="2"/>
        <scheme val="minor"/>
      </rPr>
      <t xml:space="preserve"> del COGES a cumplir</t>
    </r>
  </si>
  <si>
    <r>
      <t xml:space="preserve">La Lista espera total a dieminuido un </t>
    </r>
    <r>
      <rPr>
        <b/>
        <sz val="11"/>
        <color rgb="FF00B050"/>
        <rFont val="Calibri"/>
        <family val="2"/>
        <scheme val="minor"/>
      </rPr>
      <t xml:space="preserve">3% </t>
    </r>
    <r>
      <rPr>
        <sz val="11"/>
        <rFont val="Calibri"/>
        <family val="2"/>
        <scheme val="minor"/>
      </rPr>
      <t xml:space="preserve">a pesar de SIC generadas </t>
    </r>
    <r>
      <rPr>
        <sz val="11"/>
        <color theme="1"/>
        <rFont val="Calibri"/>
        <family val="2"/>
        <scheme val="minor"/>
      </rPr>
      <t xml:space="preserve">este año 2018, sin embargo se evidencia una </t>
    </r>
    <r>
      <rPr>
        <b/>
        <sz val="11"/>
        <color theme="1"/>
        <rFont val="Calibri"/>
        <family val="2"/>
        <scheme val="minor"/>
      </rPr>
      <t>disminucion en los años anteriores</t>
    </r>
    <r>
      <rPr>
        <sz val="11"/>
        <color theme="1"/>
        <rFont val="Calibri"/>
        <family val="2"/>
        <scheme val="minor"/>
      </rPr>
      <t xml:space="preserve"> lo cual va deacuerdo al COMGES.
- El </t>
    </r>
    <r>
      <rPr>
        <b/>
        <sz val="11"/>
        <color theme="4"/>
        <rFont val="Calibri"/>
        <family val="2"/>
        <scheme val="minor"/>
      </rPr>
      <t>82,5%</t>
    </r>
    <r>
      <rPr>
        <sz val="11"/>
        <color theme="1"/>
        <rFont val="Calibri"/>
        <family val="2"/>
        <scheme val="minor"/>
      </rPr>
      <t xml:space="preserve"> del total de las SIC, estan derivada a los Establecimientos Autogestionados, quedando pendientes</t>
    </r>
    <r>
      <rPr>
        <b/>
        <sz val="11"/>
        <color rgb="FF00B050"/>
        <rFont val="Calibri"/>
        <family val="2"/>
        <scheme val="minor"/>
      </rPr>
      <t xml:space="preserve"> 14,8%</t>
    </r>
    <r>
      <rPr>
        <sz val="11"/>
        <color theme="1"/>
        <rFont val="Calibri"/>
        <family val="2"/>
        <scheme val="minor"/>
      </rPr>
      <t>, del COMGES a cumplir.
- el</t>
    </r>
    <r>
      <rPr>
        <b/>
        <sz val="11"/>
        <color theme="4"/>
        <rFont val="Calibri"/>
        <family val="2"/>
        <scheme val="minor"/>
      </rPr>
      <t xml:space="preserve"> 6,5%</t>
    </r>
    <r>
      <rPr>
        <sz val="11"/>
        <color theme="1"/>
        <rFont val="Calibri"/>
        <family val="2"/>
        <scheme val="minor"/>
      </rPr>
      <t xml:space="preserve"> de las SIC estan derivadas a Establecimientos de mediana complejidad, aun en espera</t>
    </r>
    <r>
      <rPr>
        <b/>
        <sz val="11"/>
        <color rgb="FF00B050"/>
        <rFont val="Calibri"/>
        <family val="2"/>
        <scheme val="minor"/>
      </rPr>
      <t xml:space="preserve"> 10,2 %</t>
    </r>
    <r>
      <rPr>
        <sz val="11"/>
        <rFont val="Calibri"/>
        <family val="2"/>
        <scheme val="minor"/>
      </rPr>
      <t xml:space="preserve"> rdel COMGES a cumplir.</t>
    </r>
    <r>
      <rPr>
        <sz val="11"/>
        <color theme="1"/>
        <rFont val="Calibri"/>
        <family val="2"/>
        <scheme val="minor"/>
      </rPr>
      <t xml:space="preserve">
- el </t>
    </r>
    <r>
      <rPr>
        <b/>
        <sz val="11"/>
        <color theme="4"/>
        <rFont val="Calibri"/>
        <family val="2"/>
        <scheme val="minor"/>
      </rPr>
      <t xml:space="preserve">0,4% </t>
    </r>
    <r>
      <rPr>
        <sz val="11"/>
        <rFont val="Calibri"/>
        <family val="2"/>
        <scheme val="minor"/>
      </rPr>
      <t>de las SIC son derivadas a Hospitales de menor complejidad, asociadas al Programa de Resolutividad en APS, con COMGES ya cumplido.</t>
    </r>
    <r>
      <rPr>
        <sz val="11"/>
        <color theme="1"/>
        <rFont val="Calibri"/>
        <family val="2"/>
        <scheme val="minor"/>
      </rPr>
      <t xml:space="preserve">
- el</t>
    </r>
    <r>
      <rPr>
        <sz val="11"/>
        <color theme="4"/>
        <rFont val="Calibri"/>
        <family val="2"/>
        <scheme val="minor"/>
      </rPr>
      <t xml:space="preserve"> </t>
    </r>
    <r>
      <rPr>
        <b/>
        <sz val="11"/>
        <color theme="4"/>
        <rFont val="Calibri"/>
        <family val="2"/>
        <scheme val="minor"/>
      </rPr>
      <t>10,6%</t>
    </r>
    <r>
      <rPr>
        <sz val="11"/>
        <color theme="1"/>
        <rFont val="Calibri"/>
        <family val="2"/>
        <scheme val="minor"/>
      </rPr>
      <t xml:space="preserve"> de las SIC son derivadas a Estanlecimientos de APS, asociadas al programa de Resolutividad en APS, de las cuales quedan </t>
    </r>
    <r>
      <rPr>
        <b/>
        <sz val="11"/>
        <color rgb="FF00B050"/>
        <rFont val="Calibri"/>
        <family val="2"/>
        <scheme val="minor"/>
      </rPr>
      <t>68,3%</t>
    </r>
    <r>
      <rPr>
        <sz val="11"/>
        <color theme="1"/>
        <rFont val="Calibri"/>
        <family val="2"/>
        <scheme val="minor"/>
      </rPr>
      <t xml:space="preserve"> del COMGES a cumplir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</si>
</sst>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7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</font>
    <font>
      <b/>
      <sz val="11"/>
      <color rgb="FFFF0000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Calibri"/>
      <family val="2"/>
    </font>
    <font>
      <b/>
      <sz val="9"/>
      <color indexed="8"/>
      <name val="Calibri"/>
      <family val="2"/>
    </font>
    <font>
      <sz val="10"/>
      <color indexed="8"/>
      <name val="Calibri"/>
      <family val="2"/>
    </font>
    <font>
      <b/>
      <sz val="8"/>
      <name val="Arial"/>
      <family val="2"/>
    </font>
    <font>
      <b/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FFFF"/>
      <name val="Calibri"/>
      <family val="2"/>
    </font>
    <font>
      <sz val="10"/>
      <name val="Calibri"/>
      <family val="2"/>
    </font>
    <font>
      <sz val="11"/>
      <color indexed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</font>
    <font>
      <b/>
      <sz val="10"/>
      <color rgb="FFFFFFFF"/>
      <name val="Calibri"/>
      <family val="2"/>
    </font>
    <font>
      <sz val="10"/>
      <color indexed="8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i/>
      <sz val="12"/>
      <name val="Calibri"/>
      <family val="2"/>
    </font>
    <font>
      <b/>
      <sz val="10"/>
      <color theme="0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rgb="FF0070C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sz val="11"/>
      <color indexed="8"/>
      <name val="Calibri"/>
      <family val="2"/>
      <scheme val="minor"/>
    </font>
    <font>
      <b/>
      <sz val="10"/>
      <color rgb="FFFFFF00"/>
      <name val="Calibri"/>
      <family val="2"/>
    </font>
    <font>
      <b/>
      <u/>
      <sz val="11"/>
      <color rgb="FFFF0000"/>
      <name val="Calibri"/>
      <family val="2"/>
    </font>
    <font>
      <sz val="9"/>
      <color indexed="8"/>
      <name val="Calibri"/>
      <family val="2"/>
    </font>
    <font>
      <b/>
      <sz val="14"/>
      <color theme="4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i/>
      <sz val="11"/>
      <color indexed="8"/>
      <name val="Calibri"/>
      <family val="2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</font>
    <font>
      <b/>
      <sz val="14"/>
      <color indexed="8"/>
      <name val="Calibri"/>
      <family val="2"/>
    </font>
    <font>
      <b/>
      <sz val="14"/>
      <color rgb="FFFF0000"/>
      <name val="Calibri"/>
      <family val="2"/>
    </font>
    <font>
      <sz val="14"/>
      <color rgb="FFFF0000"/>
      <name val="Calibri"/>
      <family val="2"/>
      <scheme val="minor"/>
    </font>
  </fonts>
  <fills count="6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16365C"/>
        <bgColor rgb="FF000000"/>
      </patternFill>
    </fill>
    <fill>
      <patternFill patternType="solid">
        <fgColor theme="8" tint="0.59999389629810485"/>
        <bgColor rgb="FF000000"/>
      </patternFill>
    </fill>
    <fill>
      <patternFill patternType="solid">
        <fgColor theme="8" tint="0.79998168889431442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theme="4" tint="0.79998168889431442"/>
      </patternFill>
    </fill>
    <fill>
      <patternFill patternType="solid">
        <fgColor theme="3" tint="0.39997558519241921"/>
        <bgColor theme="0" tint="-0.14999847407452621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-0.249977111117893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theme="4" tint="0.79998168889431442"/>
      </patternFill>
    </fill>
    <fill>
      <patternFill patternType="solid">
        <fgColor theme="0" tint="-0.34998626667073579"/>
        <bgColor theme="4" tint="0.79998168889431442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0.14999847407452621"/>
        <bgColor theme="4" tint="0.79998168889431442"/>
      </patternFill>
    </fill>
    <fill>
      <patternFill patternType="solid">
        <fgColor rgb="FFFFFF00"/>
        <bgColor theme="4" tint="0.79998168889431442"/>
      </patternFill>
    </fill>
    <fill>
      <patternFill patternType="solid">
        <fgColor theme="7" tint="0.79998168889431442"/>
        <bgColor theme="4" tint="0.79998168889431442"/>
      </patternFill>
    </fill>
    <fill>
      <patternFill patternType="solid">
        <fgColor rgb="FFFFFF99"/>
        <bgColor theme="4" tint="0.79998168889431442"/>
      </patternFill>
    </fill>
    <fill>
      <patternFill patternType="solid">
        <fgColor theme="5" tint="0.59999389629810485"/>
        <bgColor theme="4" tint="0.79998168889431442"/>
      </patternFill>
    </fill>
    <fill>
      <patternFill patternType="solid">
        <fgColor theme="1" tint="0.499984740745262"/>
        <bgColor theme="4" tint="0.79998168889431442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double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 style="double">
        <color indexed="64"/>
      </left>
      <right style="thin">
        <color indexed="64"/>
      </right>
      <top style="double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double">
        <color indexed="64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hair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/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double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indexed="64"/>
      </left>
      <right style="hair">
        <color auto="1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auto="1"/>
      </right>
      <top style="thin">
        <color indexed="64"/>
      </top>
      <bottom style="hair">
        <color indexed="64"/>
      </bottom>
      <diagonal/>
    </border>
    <border>
      <left style="double">
        <color auto="1"/>
      </left>
      <right style="thin">
        <color auto="1"/>
      </right>
      <top/>
      <bottom/>
      <diagonal/>
    </border>
  </borders>
  <cellStyleXfs count="46">
    <xf numFmtId="0" fontId="0" fillId="0" borderId="0"/>
    <xf numFmtId="9" fontId="1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42" applyNumberFormat="0" applyFill="0" applyAlignment="0" applyProtection="0"/>
    <xf numFmtId="0" fontId="26" fillId="0" borderId="43" applyNumberFormat="0" applyFill="0" applyAlignment="0" applyProtection="0"/>
    <xf numFmtId="0" fontId="27" fillId="0" borderId="44" applyNumberFormat="0" applyFill="0" applyAlignment="0" applyProtection="0"/>
    <xf numFmtId="0" fontId="27" fillId="0" borderId="0" applyNumberFormat="0" applyFill="0" applyBorder="0" applyAlignment="0" applyProtection="0"/>
    <xf numFmtId="0" fontId="28" fillId="14" borderId="0" applyNumberFormat="0" applyBorder="0" applyAlignment="0" applyProtection="0"/>
    <xf numFmtId="0" fontId="29" fillId="15" borderId="0" applyNumberFormat="0" applyBorder="0" applyAlignment="0" applyProtection="0"/>
    <xf numFmtId="0" fontId="30" fillId="17" borderId="45" applyNumberFormat="0" applyAlignment="0" applyProtection="0"/>
    <xf numFmtId="0" fontId="31" fillId="18" borderId="46" applyNumberFormat="0" applyAlignment="0" applyProtection="0"/>
    <xf numFmtId="0" fontId="32" fillId="18" borderId="45" applyNumberFormat="0" applyAlignment="0" applyProtection="0"/>
    <xf numFmtId="0" fontId="33" fillId="0" borderId="47" applyNumberFormat="0" applyFill="0" applyAlignment="0" applyProtection="0"/>
    <xf numFmtId="0" fontId="21" fillId="19" borderId="48" applyNumberFormat="0" applyAlignment="0" applyProtection="0"/>
    <xf numFmtId="0" fontId="2" fillId="0" borderId="0" applyNumberFormat="0" applyFill="0" applyBorder="0" applyAlignment="0" applyProtection="0"/>
    <xf numFmtId="0" fontId="1" fillId="20" borderId="49" applyNumberFormat="0" applyFont="0" applyAlignment="0" applyProtection="0"/>
    <xf numFmtId="0" fontId="34" fillId="0" borderId="0" applyNumberFormat="0" applyFill="0" applyBorder="0" applyAlignment="0" applyProtection="0"/>
    <xf numFmtId="0" fontId="3" fillId="0" borderId="50" applyNumberFormat="0" applyFill="0" applyAlignment="0" applyProtection="0"/>
    <xf numFmtId="0" fontId="3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3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3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35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35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35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36" fillId="16" borderId="0" applyNumberFormat="0" applyBorder="0" applyAlignment="0" applyProtection="0"/>
    <xf numFmtId="0" fontId="35" fillId="24" borderId="0" applyNumberFormat="0" applyBorder="0" applyAlignment="0" applyProtection="0"/>
    <xf numFmtId="0" fontId="35" fillId="28" borderId="0" applyNumberFormat="0" applyBorder="0" applyAlignment="0" applyProtection="0"/>
    <xf numFmtId="0" fontId="35" fillId="32" borderId="0" applyNumberFormat="0" applyBorder="0" applyAlignment="0" applyProtection="0"/>
    <xf numFmtId="0" fontId="35" fillId="36" borderId="0" applyNumberFormat="0" applyBorder="0" applyAlignment="0" applyProtection="0"/>
    <xf numFmtId="0" fontId="35" fillId="40" borderId="0" applyNumberFormat="0" applyBorder="0" applyAlignment="0" applyProtection="0"/>
    <xf numFmtId="0" fontId="35" fillId="44" borderId="0" applyNumberFormat="0" applyBorder="0" applyAlignment="0" applyProtection="0"/>
    <xf numFmtId="0" fontId="40" fillId="0" borderId="0"/>
    <xf numFmtId="9" fontId="40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49">
    <xf numFmtId="0" fontId="0" fillId="0" borderId="0" xfId="0"/>
    <xf numFmtId="3" fontId="0" fillId="0" borderId="0" xfId="0" applyNumberFormat="1"/>
    <xf numFmtId="0" fontId="3" fillId="0" borderId="7" xfId="0" applyFont="1" applyFill="1" applyBorder="1"/>
    <xf numFmtId="0" fontId="0" fillId="0" borderId="0" xfId="0" applyFill="1" applyBorder="1"/>
    <xf numFmtId="0" fontId="0" fillId="0" borderId="7" xfId="0" applyFill="1" applyBorder="1"/>
    <xf numFmtId="0" fontId="0" fillId="0" borderId="0" xfId="0" applyFont="1" applyFill="1" applyBorder="1"/>
    <xf numFmtId="0" fontId="6" fillId="0" borderId="7" xfId="0" applyFont="1" applyFill="1" applyBorder="1"/>
    <xf numFmtId="0" fontId="3" fillId="0" borderId="0" xfId="0" applyFont="1" applyFill="1" applyBorder="1"/>
    <xf numFmtId="0" fontId="7" fillId="0" borderId="0" xfId="0" applyFont="1"/>
    <xf numFmtId="0" fontId="0" fillId="0" borderId="0" xfId="0" applyAlignment="1">
      <alignment horizontal="center"/>
    </xf>
    <xf numFmtId="0" fontId="0" fillId="0" borderId="0" xfId="0" applyFont="1"/>
    <xf numFmtId="0" fontId="0" fillId="0" borderId="1" xfId="0" applyBorder="1" applyAlignment="1">
      <alignment horizontal="center"/>
    </xf>
    <xf numFmtId="0" fontId="3" fillId="0" borderId="0" xfId="0" applyFont="1"/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6" fillId="0" borderId="0" xfId="0" applyFont="1"/>
    <xf numFmtId="0" fontId="1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/>
    </xf>
    <xf numFmtId="0" fontId="18" fillId="2" borderId="1" xfId="0" applyFont="1" applyFill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21" fillId="11" borderId="1" xfId="0" applyFont="1" applyFill="1" applyBorder="1" applyAlignment="1">
      <alignment horizontal="center" vertical="center"/>
    </xf>
    <xf numFmtId="0" fontId="21" fillId="12" borderId="1" xfId="0" applyFont="1" applyFill="1" applyBorder="1" applyAlignment="1">
      <alignment horizontal="center" vertical="center" wrapText="1"/>
    </xf>
    <xf numFmtId="0" fontId="21" fillId="13" borderId="1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left"/>
    </xf>
    <xf numFmtId="0" fontId="22" fillId="5" borderId="1" xfId="0" applyNumberFormat="1" applyFont="1" applyFill="1" applyBorder="1" applyAlignment="1">
      <alignment horizontal="center"/>
    </xf>
    <xf numFmtId="10" fontId="22" fillId="1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NumberFormat="1" applyFont="1" applyBorder="1" applyAlignment="1">
      <alignment horizontal="center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4" fillId="2" borderId="1" xfId="0" applyFont="1" applyFill="1" applyBorder="1" applyAlignment="1">
      <alignment horizontal="center" vertical="center"/>
    </xf>
    <xf numFmtId="0" fontId="0" fillId="0" borderId="0" xfId="0"/>
    <xf numFmtId="0" fontId="37" fillId="0" borderId="0" xfId="0" applyFont="1" applyAlignment="1">
      <alignment wrapText="1"/>
    </xf>
    <xf numFmtId="0" fontId="10" fillId="0" borderId="52" xfId="0" applyFont="1" applyFill="1" applyBorder="1" applyAlignment="1">
      <alignment horizontal="center"/>
    </xf>
    <xf numFmtId="3" fontId="0" fillId="4" borderId="25" xfId="0" applyNumberFormat="1" applyFill="1" applyBorder="1" applyAlignment="1">
      <alignment horizontal="center" vertical="center"/>
    </xf>
    <xf numFmtId="0" fontId="0" fillId="4" borderId="25" xfId="0" applyNumberFormat="1" applyFill="1" applyBorder="1" applyAlignment="1">
      <alignment horizontal="center" vertical="center"/>
    </xf>
    <xf numFmtId="3" fontId="0" fillId="4" borderId="12" xfId="0" applyNumberFormat="1" applyFill="1" applyBorder="1" applyAlignment="1">
      <alignment horizontal="center" vertical="center"/>
    </xf>
    <xf numFmtId="0" fontId="0" fillId="4" borderId="12" xfId="0" applyNumberFormat="1" applyFill="1" applyBorder="1" applyAlignment="1">
      <alignment horizontal="center" vertical="center"/>
    </xf>
    <xf numFmtId="0" fontId="7" fillId="4" borderId="12" xfId="0" applyNumberFormat="1" applyFont="1" applyFill="1" applyBorder="1" applyAlignment="1">
      <alignment horizontal="center"/>
    </xf>
    <xf numFmtId="3" fontId="0" fillId="0" borderId="26" xfId="0" applyNumberFormat="1" applyBorder="1" applyAlignment="1">
      <alignment horizontal="center" vertical="center"/>
    </xf>
    <xf numFmtId="0" fontId="0" fillId="0" borderId="26" xfId="0" applyNumberFormat="1" applyBorder="1" applyAlignment="1">
      <alignment horizontal="center" vertical="center"/>
    </xf>
    <xf numFmtId="0" fontId="7" fillId="0" borderId="26" xfId="0" applyNumberFormat="1" applyFont="1" applyBorder="1" applyAlignment="1">
      <alignment horizontal="center"/>
    </xf>
    <xf numFmtId="0" fontId="10" fillId="4" borderId="53" xfId="0" applyFont="1" applyFill="1" applyBorder="1" applyAlignment="1">
      <alignment horizontal="center" vertical="center"/>
    </xf>
    <xf numFmtId="0" fontId="10" fillId="4" borderId="37" xfId="0" applyFont="1" applyFill="1" applyBorder="1" applyAlignment="1">
      <alignment horizontal="center" vertical="center"/>
    </xf>
    <xf numFmtId="0" fontId="10" fillId="0" borderId="54" xfId="0" applyFont="1" applyFill="1" applyBorder="1" applyAlignment="1">
      <alignment horizontal="center" vertical="center"/>
    </xf>
    <xf numFmtId="3" fontId="0" fillId="4" borderId="58" xfId="0" applyNumberFormat="1" applyFill="1" applyBorder="1" applyAlignment="1">
      <alignment horizontal="center" vertical="center"/>
    </xf>
    <xf numFmtId="3" fontId="0" fillId="4" borderId="11" xfId="0" applyNumberFormat="1" applyFill="1" applyBorder="1" applyAlignment="1">
      <alignment horizontal="center" vertical="center"/>
    </xf>
    <xf numFmtId="0" fontId="7" fillId="4" borderId="13" xfId="0" applyNumberFormat="1" applyFont="1" applyFill="1" applyBorder="1" applyAlignment="1">
      <alignment horizontal="center"/>
    </xf>
    <xf numFmtId="3" fontId="0" fillId="0" borderId="59" xfId="0" applyNumberFormat="1" applyBorder="1" applyAlignment="1">
      <alignment horizontal="center" vertical="center"/>
    </xf>
    <xf numFmtId="0" fontId="7" fillId="0" borderId="60" xfId="0" applyNumberFormat="1" applyFont="1" applyBorder="1" applyAlignment="1">
      <alignment horizontal="center"/>
    </xf>
    <xf numFmtId="3" fontId="0" fillId="0" borderId="54" xfId="0" applyNumberFormat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 wrapText="1"/>
    </xf>
    <xf numFmtId="3" fontId="0" fillId="4" borderId="64" xfId="0" applyNumberFormat="1" applyFill="1" applyBorder="1" applyAlignment="1">
      <alignment horizontal="center" vertical="center"/>
    </xf>
    <xf numFmtId="3" fontId="0" fillId="4" borderId="32" xfId="0" applyNumberFormat="1" applyFill="1" applyBorder="1" applyAlignment="1">
      <alignment horizontal="center" vertical="center"/>
    </xf>
    <xf numFmtId="3" fontId="0" fillId="0" borderId="65" xfId="0" applyNumberFormat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/>
    </xf>
    <xf numFmtId="0" fontId="7" fillId="4" borderId="9" xfId="0" applyNumberFormat="1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center"/>
    </xf>
    <xf numFmtId="0" fontId="11" fillId="4" borderId="20" xfId="0" applyFont="1" applyFill="1" applyBorder="1" applyAlignment="1">
      <alignment horizontal="center" vertical="center"/>
    </xf>
    <xf numFmtId="0" fontId="11" fillId="4" borderId="21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/>
    </xf>
    <xf numFmtId="0" fontId="11" fillId="8" borderId="55" xfId="0" applyFont="1" applyFill="1" applyBorder="1" applyAlignment="1">
      <alignment horizontal="center" vertical="center" wrapText="1"/>
    </xf>
    <xf numFmtId="3" fontId="5" fillId="8" borderId="68" xfId="0" applyNumberFormat="1" applyFont="1" applyFill="1" applyBorder="1" applyAlignment="1">
      <alignment horizontal="center" vertical="center"/>
    </xf>
    <xf numFmtId="0" fontId="7" fillId="4" borderId="8" xfId="0" applyNumberFormat="1" applyFont="1" applyFill="1" applyBorder="1" applyAlignment="1">
      <alignment horizontal="center"/>
    </xf>
    <xf numFmtId="0" fontId="7" fillId="4" borderId="10" xfId="0" applyNumberFormat="1" applyFont="1" applyFill="1" applyBorder="1" applyAlignment="1">
      <alignment horizontal="center"/>
    </xf>
    <xf numFmtId="0" fontId="0" fillId="0" borderId="14" xfId="0" applyBorder="1"/>
    <xf numFmtId="0" fontId="0" fillId="0" borderId="11" xfId="0" applyBorder="1"/>
    <xf numFmtId="0" fontId="21" fillId="11" borderId="8" xfId="0" applyFont="1" applyFill="1" applyBorder="1" applyAlignment="1">
      <alignment horizontal="center" vertical="center"/>
    </xf>
    <xf numFmtId="0" fontId="21" fillId="12" borderId="9" xfId="0" applyFont="1" applyFill="1" applyBorder="1" applyAlignment="1">
      <alignment horizontal="center" vertical="center" wrapText="1"/>
    </xf>
    <xf numFmtId="0" fontId="21" fillId="13" borderId="10" xfId="0" applyFont="1" applyFill="1" applyBorder="1" applyAlignment="1">
      <alignment horizontal="center" vertical="center"/>
    </xf>
    <xf numFmtId="0" fontId="22" fillId="5" borderId="11" xfId="0" applyFont="1" applyFill="1" applyBorder="1" applyAlignment="1">
      <alignment horizontal="left"/>
    </xf>
    <xf numFmtId="0" fontId="22" fillId="5" borderId="12" xfId="0" applyNumberFormat="1" applyFont="1" applyFill="1" applyBorder="1" applyAlignment="1">
      <alignment horizontal="center"/>
    </xf>
    <xf numFmtId="10" fontId="22" fillId="10" borderId="13" xfId="0" applyNumberFormat="1" applyFont="1" applyFill="1" applyBorder="1" applyAlignment="1">
      <alignment horizontal="center"/>
    </xf>
    <xf numFmtId="0" fontId="0" fillId="0" borderId="11" xfId="0" applyFill="1" applyBorder="1"/>
    <xf numFmtId="0" fontId="0" fillId="0" borderId="12" xfId="0" applyFill="1" applyBorder="1" applyAlignment="1">
      <alignment horizontal="center"/>
    </xf>
    <xf numFmtId="10" fontId="22" fillId="10" borderId="16" xfId="0" applyNumberFormat="1" applyFont="1" applyFill="1" applyBorder="1" applyAlignment="1">
      <alignment horizontal="center"/>
    </xf>
    <xf numFmtId="0" fontId="41" fillId="0" borderId="11" xfId="0" applyFont="1" applyFill="1" applyBorder="1" applyAlignment="1">
      <alignment horizontal="left"/>
    </xf>
    <xf numFmtId="0" fontId="2" fillId="0" borderId="12" xfId="0" applyNumberFormat="1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14" fillId="2" borderId="0" xfId="0" applyFont="1" applyFill="1" applyBorder="1" applyAlignment="1">
      <alignment horizontal="center" vertical="center"/>
    </xf>
    <xf numFmtId="0" fontId="42" fillId="5" borderId="1" xfId="0" applyFont="1" applyFill="1" applyBorder="1" applyAlignment="1">
      <alignment horizontal="left"/>
    </xf>
    <xf numFmtId="0" fontId="43" fillId="46" borderId="1" xfId="0" applyFont="1" applyFill="1" applyBorder="1" applyAlignment="1">
      <alignment horizontal="left"/>
    </xf>
    <xf numFmtId="0" fontId="42" fillId="46" borderId="1" xfId="0" applyNumberFormat="1" applyFont="1" applyFill="1" applyBorder="1" applyAlignment="1">
      <alignment horizontal="center"/>
    </xf>
    <xf numFmtId="10" fontId="22" fillId="10" borderId="4" xfId="0" applyNumberFormat="1" applyFont="1" applyFill="1" applyBorder="1" applyAlignment="1">
      <alignment horizontal="center"/>
    </xf>
    <xf numFmtId="0" fontId="0" fillId="45" borderId="1" xfId="0" applyFill="1" applyBorder="1"/>
    <xf numFmtId="0" fontId="0" fillId="45" borderId="1" xfId="0" applyFill="1" applyBorder="1" applyAlignment="1">
      <alignment horizontal="center"/>
    </xf>
    <xf numFmtId="0" fontId="45" fillId="0" borderId="0" xfId="0" applyFont="1" applyFill="1" applyBorder="1" applyAlignment="1" applyProtection="1">
      <alignment vertical="center" wrapText="1"/>
    </xf>
    <xf numFmtId="0" fontId="46" fillId="0" borderId="0" xfId="0" applyFont="1" applyFill="1" applyBorder="1" applyAlignment="1" applyProtection="1">
      <alignment vertical="center" wrapText="1"/>
    </xf>
    <xf numFmtId="0" fontId="47" fillId="0" borderId="0" xfId="0" applyFont="1" applyProtection="1"/>
    <xf numFmtId="0" fontId="47" fillId="0" borderId="0" xfId="0" applyFont="1" applyFill="1" applyBorder="1" applyProtection="1"/>
    <xf numFmtId="0" fontId="38" fillId="47" borderId="1" xfId="0" applyFont="1" applyFill="1" applyBorder="1" applyAlignment="1" applyProtection="1">
      <alignment horizontal="center" vertical="center" wrapText="1"/>
    </xf>
    <xf numFmtId="0" fontId="39" fillId="2" borderId="1" xfId="0" applyFont="1" applyFill="1" applyBorder="1" applyAlignment="1" applyProtection="1">
      <alignment horizontal="center" vertical="center" wrapText="1"/>
    </xf>
    <xf numFmtId="3" fontId="48" fillId="2" borderId="1" xfId="0" applyNumberFormat="1" applyFont="1" applyFill="1" applyBorder="1" applyAlignment="1" applyProtection="1">
      <alignment horizontal="center" vertical="center"/>
    </xf>
    <xf numFmtId="3" fontId="8" fillId="2" borderId="1" xfId="0" applyNumberFormat="1" applyFont="1" applyFill="1" applyBorder="1" applyAlignment="1" applyProtection="1">
      <alignment horizontal="center" vertical="center"/>
    </xf>
    <xf numFmtId="3" fontId="48" fillId="0" borderId="0" xfId="0" applyNumberFormat="1" applyFont="1" applyFill="1" applyBorder="1" applyAlignment="1" applyProtection="1">
      <alignment horizontal="center" vertical="center"/>
    </xf>
    <xf numFmtId="0" fontId="39" fillId="0" borderId="1" xfId="0" applyFont="1" applyFill="1" applyBorder="1" applyAlignment="1" applyProtection="1">
      <alignment horizontal="center" vertical="center" wrapText="1"/>
    </xf>
    <xf numFmtId="3" fontId="48" fillId="0" borderId="1" xfId="0" applyNumberFormat="1" applyFont="1" applyFill="1" applyBorder="1" applyAlignment="1" applyProtection="1">
      <alignment horizontal="center" vertical="center"/>
    </xf>
    <xf numFmtId="3" fontId="49" fillId="0" borderId="1" xfId="0" applyNumberFormat="1" applyFont="1" applyFill="1" applyBorder="1" applyAlignment="1" applyProtection="1">
      <alignment horizontal="center" vertical="center"/>
    </xf>
    <xf numFmtId="3" fontId="49" fillId="0" borderId="0" xfId="0" applyNumberFormat="1" applyFont="1" applyFill="1" applyBorder="1" applyAlignment="1" applyProtection="1">
      <alignment horizontal="center" vertical="center"/>
    </xf>
    <xf numFmtId="0" fontId="46" fillId="6" borderId="1" xfId="0" applyFont="1" applyFill="1" applyBorder="1" applyAlignment="1" applyProtection="1">
      <alignment horizontal="center" vertical="center" wrapText="1"/>
    </xf>
    <xf numFmtId="0" fontId="51" fillId="6" borderId="1" xfId="0" applyFont="1" applyFill="1" applyBorder="1" applyAlignment="1" applyProtection="1">
      <alignment horizontal="center" vertical="center" wrapText="1"/>
    </xf>
    <xf numFmtId="0" fontId="39" fillId="2" borderId="1" xfId="0" applyFont="1" applyFill="1" applyBorder="1" applyAlignment="1" applyProtection="1">
      <alignment vertical="center" wrapText="1"/>
    </xf>
    <xf numFmtId="3" fontId="48" fillId="2" borderId="1" xfId="0" applyNumberFormat="1" applyFont="1" applyFill="1" applyBorder="1" applyAlignment="1" applyProtection="1">
      <alignment horizontal="center"/>
    </xf>
    <xf numFmtId="3" fontId="8" fillId="2" borderId="1" xfId="0" applyNumberFormat="1" applyFont="1" applyFill="1" applyBorder="1" applyAlignment="1" applyProtection="1">
      <alignment horizontal="center"/>
    </xf>
    <xf numFmtId="9" fontId="8" fillId="2" borderId="1" xfId="44" applyFont="1" applyFill="1" applyBorder="1" applyAlignment="1" applyProtection="1">
      <alignment horizontal="center"/>
    </xf>
    <xf numFmtId="0" fontId="39" fillId="0" borderId="1" xfId="0" applyFont="1" applyFill="1" applyBorder="1" applyAlignment="1" applyProtection="1">
      <alignment vertical="center" wrapText="1"/>
    </xf>
    <xf numFmtId="3" fontId="48" fillId="3" borderId="1" xfId="0" applyNumberFormat="1" applyFont="1" applyFill="1" applyBorder="1" applyAlignment="1" applyProtection="1">
      <alignment horizontal="center" vertical="center"/>
    </xf>
    <xf numFmtId="9" fontId="49" fillId="0" borderId="1" xfId="44" applyFont="1" applyFill="1" applyBorder="1" applyAlignment="1" applyProtection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76" xfId="0" applyBorder="1"/>
    <xf numFmtId="0" fontId="7" fillId="0" borderId="0" xfId="0" applyFont="1" applyBorder="1"/>
    <xf numFmtId="0" fontId="7" fillId="0" borderId="76" xfId="0" applyFont="1" applyBorder="1"/>
    <xf numFmtId="9" fontId="49" fillId="48" borderId="1" xfId="44" applyFont="1" applyFill="1" applyBorder="1" applyAlignment="1" applyProtection="1">
      <alignment horizontal="center" vertical="center"/>
    </xf>
    <xf numFmtId="0" fontId="52" fillId="0" borderId="0" xfId="0" applyFont="1"/>
    <xf numFmtId="0" fontId="53" fillId="0" borderId="0" xfId="0" applyFont="1"/>
    <xf numFmtId="0" fontId="0" fillId="0" borderId="8" xfId="0" applyBorder="1" applyAlignment="1">
      <alignment horizontal="left" indent="1"/>
    </xf>
    <xf numFmtId="0" fontId="0" fillId="0" borderId="11" xfId="0" applyBorder="1" applyAlignment="1">
      <alignment horizontal="left" indent="1"/>
    </xf>
    <xf numFmtId="0" fontId="3" fillId="49" borderId="35" xfId="0" applyFont="1" applyFill="1" applyBorder="1"/>
    <xf numFmtId="0" fontId="3" fillId="49" borderId="84" xfId="0" applyFont="1" applyFill="1" applyBorder="1" applyAlignment="1">
      <alignment horizontal="center" vertical="center"/>
    </xf>
    <xf numFmtId="0" fontId="3" fillId="49" borderId="85" xfId="0" applyFont="1" applyFill="1" applyBorder="1" applyAlignment="1">
      <alignment horizontal="center" vertical="center"/>
    </xf>
    <xf numFmtId="0" fontId="3" fillId="49" borderId="86" xfId="0" applyFont="1" applyFill="1" applyBorder="1" applyAlignment="1">
      <alignment horizontal="center" vertical="center"/>
    </xf>
    <xf numFmtId="0" fontId="3" fillId="49" borderId="24" xfId="0" applyFont="1" applyFill="1" applyBorder="1" applyAlignment="1">
      <alignment horizontal="center" vertical="center"/>
    </xf>
    <xf numFmtId="0" fontId="3" fillId="49" borderId="87" xfId="0" applyFont="1" applyFill="1" applyBorder="1" applyAlignment="1">
      <alignment horizontal="center" vertical="center"/>
    </xf>
    <xf numFmtId="0" fontId="3" fillId="49" borderId="88" xfId="0" applyFont="1" applyFill="1" applyBorder="1"/>
    <xf numFmtId="0" fontId="0" fillId="0" borderId="89" xfId="0" applyBorder="1" applyAlignment="1">
      <alignment horizontal="left"/>
    </xf>
    <xf numFmtId="0" fontId="0" fillId="0" borderId="90" xfId="0" applyNumberFormat="1" applyBorder="1" applyAlignment="1">
      <alignment horizontal="center" vertical="center"/>
    </xf>
    <xf numFmtId="0" fontId="0" fillId="0" borderId="91" xfId="0" applyNumberFormat="1" applyBorder="1" applyAlignment="1">
      <alignment horizontal="center" vertical="center"/>
    </xf>
    <xf numFmtId="0" fontId="0" fillId="0" borderId="92" xfId="0" applyNumberFormat="1" applyBorder="1" applyAlignment="1">
      <alignment horizontal="center" vertical="center"/>
    </xf>
    <xf numFmtId="0" fontId="0" fillId="0" borderId="93" xfId="0" applyNumberFormat="1" applyBorder="1" applyAlignment="1">
      <alignment horizontal="center" vertical="center"/>
    </xf>
    <xf numFmtId="9" fontId="3" fillId="9" borderId="31" xfId="1" applyFont="1" applyFill="1" applyBorder="1" applyAlignment="1">
      <alignment horizontal="center" vertical="center"/>
    </xf>
    <xf numFmtId="9" fontId="0" fillId="0" borderId="0" xfId="1" applyFont="1" applyAlignment="1">
      <alignment horizontal="left"/>
    </xf>
    <xf numFmtId="0" fontId="0" fillId="0" borderId="21" xfId="0" applyBorder="1" applyAlignment="1">
      <alignment horizontal="left"/>
    </xf>
    <xf numFmtId="0" fontId="0" fillId="0" borderId="94" xfId="0" applyNumberFormat="1" applyBorder="1" applyAlignment="1">
      <alignment horizontal="center" vertical="center"/>
    </xf>
    <xf numFmtId="0" fontId="0" fillId="0" borderId="95" xfId="0" applyNumberFormat="1" applyBorder="1" applyAlignment="1">
      <alignment horizontal="center" vertical="center"/>
    </xf>
    <xf numFmtId="0" fontId="0" fillId="0" borderId="96" xfId="0" applyNumberFormat="1" applyBorder="1" applyAlignment="1">
      <alignment horizontal="center" vertical="center"/>
    </xf>
    <xf numFmtId="0" fontId="0" fillId="0" borderId="70" xfId="0" applyNumberFormat="1" applyBorder="1" applyAlignment="1">
      <alignment horizontal="center" vertical="center"/>
    </xf>
    <xf numFmtId="9" fontId="3" fillId="9" borderId="32" xfId="1" applyFont="1" applyFill="1" applyBorder="1" applyAlignment="1">
      <alignment horizontal="center" vertical="center"/>
    </xf>
    <xf numFmtId="0" fontId="0" fillId="0" borderId="20" xfId="0" applyBorder="1" applyAlignment="1">
      <alignment horizontal="left" indent="1"/>
    </xf>
    <xf numFmtId="0" fontId="0" fillId="0" borderId="21" xfId="0" applyBorder="1" applyAlignment="1">
      <alignment horizontal="left" indent="1"/>
    </xf>
    <xf numFmtId="0" fontId="0" fillId="0" borderId="97" xfId="0" applyBorder="1" applyAlignment="1">
      <alignment horizontal="left"/>
    </xf>
    <xf numFmtId="0" fontId="0" fillId="0" borderId="98" xfId="0" applyNumberFormat="1" applyBorder="1" applyAlignment="1">
      <alignment horizontal="center" vertical="center"/>
    </xf>
    <xf numFmtId="0" fontId="0" fillId="0" borderId="99" xfId="0" applyNumberFormat="1" applyBorder="1" applyAlignment="1">
      <alignment horizontal="center" vertical="center"/>
    </xf>
    <xf numFmtId="0" fontId="0" fillId="0" borderId="100" xfId="0" applyNumberFormat="1" applyBorder="1" applyAlignment="1">
      <alignment horizontal="center" vertical="center"/>
    </xf>
    <xf numFmtId="0" fontId="0" fillId="0" borderId="101" xfId="0" applyNumberFormat="1" applyBorder="1" applyAlignment="1">
      <alignment horizontal="center" vertical="center"/>
    </xf>
    <xf numFmtId="9" fontId="3" fillId="9" borderId="34" xfId="1" applyFont="1" applyFill="1" applyBorder="1" applyAlignment="1">
      <alignment horizontal="center" vertical="center"/>
    </xf>
    <xf numFmtId="0" fontId="3" fillId="49" borderId="35" xfId="0" applyFont="1" applyFill="1" applyBorder="1" applyAlignment="1">
      <alignment horizontal="left"/>
    </xf>
    <xf numFmtId="0" fontId="3" fillId="49" borderId="84" xfId="0" applyNumberFormat="1" applyFont="1" applyFill="1" applyBorder="1" applyAlignment="1">
      <alignment horizontal="center" vertical="center"/>
    </xf>
    <xf numFmtId="0" fontId="3" fillId="49" borderId="85" xfId="0" applyNumberFormat="1" applyFont="1" applyFill="1" applyBorder="1" applyAlignment="1">
      <alignment horizontal="center" vertical="center"/>
    </xf>
    <xf numFmtId="0" fontId="3" fillId="49" borderId="86" xfId="0" applyNumberFormat="1" applyFont="1" applyFill="1" applyBorder="1" applyAlignment="1">
      <alignment horizontal="center" vertical="center"/>
    </xf>
    <xf numFmtId="0" fontId="3" fillId="49" borderId="24" xfId="0" applyNumberFormat="1" applyFont="1" applyFill="1" applyBorder="1" applyAlignment="1">
      <alignment horizontal="center" vertical="center"/>
    </xf>
    <xf numFmtId="9" fontId="3" fillId="49" borderId="87" xfId="1" applyFont="1" applyFill="1" applyBorder="1" applyAlignment="1">
      <alignment horizontal="center" vertical="center"/>
    </xf>
    <xf numFmtId="0" fontId="0" fillId="0" borderId="22" xfId="0" applyBorder="1" applyAlignment="1">
      <alignment horizontal="left" indent="1"/>
    </xf>
    <xf numFmtId="0" fontId="3" fillId="0" borderId="0" xfId="0" applyFont="1" applyFill="1" applyBorder="1" applyAlignment="1">
      <alignment horizontal="left" indent="1"/>
    </xf>
    <xf numFmtId="0" fontId="3" fillId="51" borderId="18" xfId="0" applyNumberFormat="1" applyFont="1" applyFill="1" applyBorder="1"/>
    <xf numFmtId="0" fontId="3" fillId="51" borderId="19" xfId="0" applyNumberFormat="1" applyFont="1" applyFill="1" applyBorder="1"/>
    <xf numFmtId="0" fontId="0" fillId="0" borderId="12" xfId="0" applyNumberFormat="1" applyBorder="1" applyAlignment="1">
      <alignment horizontal="center"/>
    </xf>
    <xf numFmtId="0" fontId="0" fillId="0" borderId="37" xfId="0" applyNumberFormat="1" applyBorder="1" applyAlignment="1">
      <alignment horizontal="center"/>
    </xf>
    <xf numFmtId="0" fontId="0" fillId="0" borderId="102" xfId="0" applyBorder="1" applyAlignment="1">
      <alignment horizontal="left" indent="1"/>
    </xf>
    <xf numFmtId="0" fontId="56" fillId="0" borderId="0" xfId="0" applyFont="1"/>
    <xf numFmtId="10" fontId="0" fillId="0" borderId="0" xfId="0" applyNumberFormat="1"/>
    <xf numFmtId="10" fontId="3" fillId="9" borderId="87" xfId="1" applyNumberFormat="1" applyFont="1" applyFill="1" applyBorder="1" applyAlignment="1">
      <alignment vertical="center"/>
    </xf>
    <xf numFmtId="0" fontId="3" fillId="9" borderId="35" xfId="0" applyFont="1" applyFill="1" applyBorder="1" applyAlignment="1">
      <alignment horizontal="left"/>
    </xf>
    <xf numFmtId="0" fontId="3" fillId="9" borderId="20" xfId="0" applyFont="1" applyFill="1" applyBorder="1" applyAlignment="1">
      <alignment horizontal="left"/>
    </xf>
    <xf numFmtId="0" fontId="3" fillId="49" borderId="81" xfId="0" applyFont="1" applyFill="1" applyBorder="1" applyAlignment="1">
      <alignment horizontal="center" vertical="center"/>
    </xf>
    <xf numFmtId="0" fontId="0" fillId="0" borderId="69" xfId="0" applyNumberFormat="1" applyBorder="1" applyAlignment="1">
      <alignment horizontal="center" vertical="center"/>
    </xf>
    <xf numFmtId="0" fontId="3" fillId="9" borderId="68" xfId="0" applyNumberFormat="1" applyFont="1" applyFill="1" applyBorder="1" applyAlignment="1">
      <alignment horizontal="center" vertical="center"/>
    </xf>
    <xf numFmtId="0" fontId="3" fillId="49" borderId="111" xfId="0" applyFont="1" applyFill="1" applyBorder="1"/>
    <xf numFmtId="0" fontId="3" fillId="49" borderId="112" xfId="0" applyFont="1" applyFill="1" applyBorder="1" applyAlignment="1">
      <alignment horizontal="center" vertical="center"/>
    </xf>
    <xf numFmtId="0" fontId="3" fillId="49" borderId="113" xfId="0" applyFont="1" applyFill="1" applyBorder="1" applyAlignment="1">
      <alignment horizontal="center" vertical="center"/>
    </xf>
    <xf numFmtId="0" fontId="3" fillId="9" borderId="105" xfId="0" applyFont="1" applyFill="1" applyBorder="1" applyAlignment="1">
      <alignment horizontal="left"/>
    </xf>
    <xf numFmtId="0" fontId="3" fillId="9" borderId="106" xfId="0" applyNumberFormat="1" applyFont="1" applyFill="1" applyBorder="1" applyAlignment="1">
      <alignment horizontal="center" vertical="center"/>
    </xf>
    <xf numFmtId="0" fontId="3" fillId="9" borderId="107" xfId="0" applyNumberFormat="1" applyFont="1" applyFill="1" applyBorder="1" applyAlignment="1">
      <alignment horizontal="center" vertical="center"/>
    </xf>
    <xf numFmtId="0" fontId="0" fillId="0" borderId="109" xfId="0" applyNumberFormat="1" applyBorder="1" applyAlignment="1">
      <alignment horizontal="center" vertical="center"/>
    </xf>
    <xf numFmtId="0" fontId="0" fillId="0" borderId="110" xfId="0" applyNumberFormat="1" applyBorder="1" applyAlignment="1">
      <alignment horizontal="center" vertical="center"/>
    </xf>
    <xf numFmtId="3" fontId="0" fillId="51" borderId="12" xfId="0" applyNumberFormat="1" applyFont="1" applyFill="1" applyBorder="1" applyAlignment="1">
      <alignment horizontal="center"/>
    </xf>
    <xf numFmtId="3" fontId="0" fillId="51" borderId="15" xfId="0" applyNumberFormat="1" applyFont="1" applyFill="1" applyBorder="1" applyAlignment="1">
      <alignment horizontal="center"/>
    </xf>
    <xf numFmtId="3" fontId="0" fillId="51" borderId="13" xfId="0" applyNumberFormat="1" applyFont="1" applyFill="1" applyBorder="1" applyAlignment="1">
      <alignment horizontal="center"/>
    </xf>
    <xf numFmtId="3" fontId="0" fillId="51" borderId="16" xfId="0" applyNumberFormat="1" applyFont="1" applyFill="1" applyBorder="1" applyAlignment="1">
      <alignment horizontal="center"/>
    </xf>
    <xf numFmtId="0" fontId="0" fillId="51" borderId="20" xfId="0" applyFont="1" applyFill="1" applyBorder="1" applyAlignment="1">
      <alignment horizontal="left"/>
    </xf>
    <xf numFmtId="0" fontId="0" fillId="51" borderId="21" xfId="0" applyFont="1" applyFill="1" applyBorder="1" applyAlignment="1">
      <alignment horizontal="left"/>
    </xf>
    <xf numFmtId="3" fontId="0" fillId="51" borderId="32" xfId="0" applyNumberFormat="1" applyFont="1" applyFill="1" applyBorder="1" applyAlignment="1">
      <alignment horizontal="center"/>
    </xf>
    <xf numFmtId="0" fontId="0" fillId="51" borderId="22" xfId="0" applyFont="1" applyFill="1" applyBorder="1" applyAlignment="1">
      <alignment horizontal="left"/>
    </xf>
    <xf numFmtId="3" fontId="0" fillId="51" borderId="33" xfId="0" applyNumberFormat="1" applyFont="1" applyFill="1" applyBorder="1" applyAlignment="1">
      <alignment horizontal="center"/>
    </xf>
    <xf numFmtId="0" fontId="3" fillId="51" borderId="87" xfId="0" applyNumberFormat="1" applyFont="1" applyFill="1" applyBorder="1" applyAlignment="1">
      <alignment horizontal="center"/>
    </xf>
    <xf numFmtId="9" fontId="0" fillId="0" borderId="0" xfId="1" applyNumberFormat="1" applyFont="1" applyFill="1" applyBorder="1"/>
    <xf numFmtId="9" fontId="52" fillId="0" borderId="0" xfId="1" applyFont="1" applyFill="1" applyBorder="1" applyAlignment="1">
      <alignment vertical="center"/>
    </xf>
    <xf numFmtId="0" fontId="0" fillId="0" borderId="115" xfId="0" applyBorder="1" applyAlignment="1">
      <alignment horizontal="left" indent="1"/>
    </xf>
    <xf numFmtId="0" fontId="0" fillId="0" borderId="116" xfId="0" applyBorder="1" applyAlignment="1">
      <alignment horizontal="left" indent="1"/>
    </xf>
    <xf numFmtId="0" fontId="0" fillId="0" borderId="117" xfId="0" applyBorder="1" applyAlignment="1">
      <alignment horizontal="left" indent="1"/>
    </xf>
    <xf numFmtId="3" fontId="3" fillId="51" borderId="31" xfId="0" applyNumberFormat="1" applyFont="1" applyFill="1" applyBorder="1" applyAlignment="1">
      <alignment horizontal="center"/>
    </xf>
    <xf numFmtId="3" fontId="3" fillId="51" borderId="32" xfId="0" applyNumberFormat="1" applyFont="1" applyFill="1" applyBorder="1" applyAlignment="1">
      <alignment horizontal="center"/>
    </xf>
    <xf numFmtId="0" fontId="13" fillId="52" borderId="8" xfId="0" applyFont="1" applyFill="1" applyBorder="1" applyAlignment="1">
      <alignment horizontal="left" vertical="center" wrapText="1"/>
    </xf>
    <xf numFmtId="0" fontId="13" fillId="52" borderId="14" xfId="0" applyFont="1" applyFill="1" applyBorder="1" applyAlignment="1">
      <alignment horizontal="left" vertical="center" wrapText="1"/>
    </xf>
    <xf numFmtId="3" fontId="0" fillId="52" borderId="15" xfId="0" applyNumberFormat="1" applyFont="1" applyFill="1" applyBorder="1" applyAlignment="1">
      <alignment horizontal="center"/>
    </xf>
    <xf numFmtId="3" fontId="0" fillId="52" borderId="38" xfId="0" applyNumberFormat="1" applyFont="1" applyFill="1" applyBorder="1" applyAlignment="1">
      <alignment horizontal="center"/>
    </xf>
    <xf numFmtId="3" fontId="0" fillId="52" borderId="9" xfId="0" applyNumberFormat="1" applyFont="1" applyFill="1" applyBorder="1" applyAlignment="1">
      <alignment horizontal="center"/>
    </xf>
    <xf numFmtId="3" fontId="0" fillId="52" borderId="36" xfId="0" applyNumberFormat="1" applyFont="1" applyFill="1" applyBorder="1" applyAlignment="1">
      <alignment horizontal="center"/>
    </xf>
    <xf numFmtId="0" fontId="11" fillId="4" borderId="20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wrapText="1"/>
    </xf>
    <xf numFmtId="164" fontId="8" fillId="2" borderId="1" xfId="44" applyNumberFormat="1" applyFont="1" applyFill="1" applyBorder="1" applyAlignment="1" applyProtection="1">
      <alignment horizontal="center" vertical="center"/>
    </xf>
    <xf numFmtId="164" fontId="48" fillId="48" borderId="1" xfId="44" applyNumberFormat="1" applyFont="1" applyFill="1" applyBorder="1" applyAlignment="1" applyProtection="1">
      <alignment horizontal="center" vertical="center"/>
    </xf>
    <xf numFmtId="3" fontId="57" fillId="2" borderId="1" xfId="0" applyNumberFormat="1" applyFont="1" applyFill="1" applyBorder="1" applyAlignment="1" applyProtection="1">
      <alignment horizontal="center" vertical="center"/>
    </xf>
    <xf numFmtId="0" fontId="47" fillId="0" borderId="1" xfId="0" applyFont="1" applyBorder="1" applyAlignment="1" applyProtection="1">
      <alignment horizontal="center" vertical="center"/>
    </xf>
    <xf numFmtId="0" fontId="0" fillId="49" borderId="20" xfId="0" applyFont="1" applyFill="1" applyBorder="1" applyAlignment="1">
      <alignment horizontal="left"/>
    </xf>
    <xf numFmtId="0" fontId="0" fillId="49" borderId="105" xfId="0" applyNumberFormat="1" applyFont="1" applyFill="1" applyBorder="1" applyAlignment="1">
      <alignment horizontal="center" vertical="center"/>
    </xf>
    <xf numFmtId="0" fontId="0" fillId="49" borderId="106" xfId="0" applyNumberFormat="1" applyFont="1" applyFill="1" applyBorder="1" applyAlignment="1">
      <alignment horizontal="center" vertical="center"/>
    </xf>
    <xf numFmtId="0" fontId="0" fillId="50" borderId="107" xfId="0" applyNumberFormat="1" applyFont="1" applyFill="1" applyBorder="1" applyAlignment="1">
      <alignment horizontal="center" vertical="center"/>
    </xf>
    <xf numFmtId="0" fontId="3" fillId="49" borderId="68" xfId="0" applyNumberFormat="1" applyFont="1" applyFill="1" applyBorder="1" applyAlignment="1">
      <alignment horizontal="center" vertical="center"/>
    </xf>
    <xf numFmtId="0" fontId="0" fillId="49" borderId="21" xfId="0" applyFont="1" applyFill="1" applyBorder="1" applyAlignment="1">
      <alignment horizontal="left"/>
    </xf>
    <xf numFmtId="0" fontId="0" fillId="49" borderId="94" xfId="0" applyNumberFormat="1" applyFont="1" applyFill="1" applyBorder="1" applyAlignment="1">
      <alignment horizontal="center" vertical="center"/>
    </xf>
    <xf numFmtId="0" fontId="0" fillId="49" borderId="95" xfId="0" applyNumberFormat="1" applyFont="1" applyFill="1" applyBorder="1" applyAlignment="1">
      <alignment horizontal="center" vertical="center"/>
    </xf>
    <xf numFmtId="0" fontId="0" fillId="49" borderId="96" xfId="0" applyNumberFormat="1" applyFont="1" applyFill="1" applyBorder="1" applyAlignment="1">
      <alignment horizontal="center" vertical="center"/>
    </xf>
    <xf numFmtId="0" fontId="3" fillId="49" borderId="70" xfId="0" applyNumberFormat="1" applyFont="1" applyFill="1" applyBorder="1" applyAlignment="1">
      <alignment horizontal="center" vertical="center"/>
    </xf>
    <xf numFmtId="0" fontId="0" fillId="49" borderId="70" xfId="0" applyNumberFormat="1" applyFont="1" applyFill="1" applyBorder="1" applyAlignment="1">
      <alignment horizontal="center" vertical="center"/>
    </xf>
    <xf numFmtId="0" fontId="0" fillId="49" borderId="22" xfId="0" applyFont="1" applyFill="1" applyBorder="1" applyAlignment="1">
      <alignment horizontal="left"/>
    </xf>
    <xf numFmtId="0" fontId="0" fillId="49" borderId="108" xfId="0" applyNumberFormat="1" applyFont="1" applyFill="1" applyBorder="1" applyAlignment="1">
      <alignment horizontal="center" vertical="center"/>
    </xf>
    <xf numFmtId="0" fontId="0" fillId="49" borderId="109" xfId="0" applyNumberFormat="1" applyFont="1" applyFill="1" applyBorder="1" applyAlignment="1">
      <alignment horizontal="center" vertical="center"/>
    </xf>
    <xf numFmtId="0" fontId="0" fillId="49" borderId="110" xfId="0" applyNumberFormat="1" applyFont="1" applyFill="1" applyBorder="1" applyAlignment="1">
      <alignment horizontal="center" vertical="center"/>
    </xf>
    <xf numFmtId="0" fontId="0" fillId="49" borderId="69" xfId="0" applyNumberFormat="1" applyFont="1" applyFill="1" applyBorder="1" applyAlignment="1">
      <alignment horizontal="center" vertical="center"/>
    </xf>
    <xf numFmtId="0" fontId="0" fillId="0" borderId="94" xfId="0" applyBorder="1" applyAlignment="1">
      <alignment horizontal="center"/>
    </xf>
    <xf numFmtId="0" fontId="0" fillId="0" borderId="108" xfId="0" applyBorder="1" applyAlignment="1">
      <alignment horizontal="center"/>
    </xf>
    <xf numFmtId="0" fontId="3" fillId="9" borderId="105" xfId="0" applyFont="1" applyFill="1" applyBorder="1" applyAlignment="1">
      <alignment horizontal="center"/>
    </xf>
    <xf numFmtId="3" fontId="0" fillId="53" borderId="9" xfId="0" applyNumberFormat="1" applyFont="1" applyFill="1" applyBorder="1" applyAlignment="1">
      <alignment horizontal="center"/>
    </xf>
    <xf numFmtId="3" fontId="0" fillId="4" borderId="9" xfId="0" applyNumberFormat="1" applyFont="1" applyFill="1" applyBorder="1" applyAlignment="1">
      <alignment horizontal="center"/>
    </xf>
    <xf numFmtId="3" fontId="0" fillId="53" borderId="38" xfId="0" applyNumberFormat="1" applyFont="1" applyFill="1" applyBorder="1" applyAlignment="1">
      <alignment horizontal="center"/>
    </xf>
    <xf numFmtId="3" fontId="0" fillId="4" borderId="8" xfId="0" applyNumberFormat="1" applyFont="1" applyFill="1" applyBorder="1" applyAlignment="1">
      <alignment horizontal="center"/>
    </xf>
    <xf numFmtId="3" fontId="0" fillId="52" borderId="16" xfId="0" applyNumberFormat="1" applyFont="1" applyFill="1" applyBorder="1" applyAlignment="1">
      <alignment horizontal="center"/>
    </xf>
    <xf numFmtId="3" fontId="0" fillId="53" borderId="36" xfId="0" applyNumberFormat="1" applyFont="1" applyFill="1" applyBorder="1" applyAlignment="1">
      <alignment horizontal="center"/>
    </xf>
    <xf numFmtId="3" fontId="0" fillId="53" borderId="16" xfId="0" applyNumberFormat="1" applyFont="1" applyFill="1" applyBorder="1" applyAlignment="1">
      <alignment horizontal="center"/>
    </xf>
    <xf numFmtId="3" fontId="0" fillId="52" borderId="11" xfId="0" applyNumberFormat="1" applyFill="1" applyBorder="1" applyAlignment="1">
      <alignment horizontal="center" vertical="center"/>
    </xf>
    <xf numFmtId="3" fontId="0" fillId="53" borderId="10" xfId="0" applyNumberFormat="1" applyFont="1" applyFill="1" applyBorder="1" applyAlignment="1">
      <alignment horizontal="center"/>
    </xf>
    <xf numFmtId="3" fontId="0" fillId="52" borderId="10" xfId="0" applyNumberFormat="1" applyFont="1" applyFill="1" applyBorder="1" applyAlignment="1">
      <alignment horizontal="center"/>
    </xf>
    <xf numFmtId="3" fontId="0" fillId="53" borderId="8" xfId="0" applyNumberFormat="1" applyFont="1" applyFill="1" applyBorder="1" applyAlignment="1">
      <alignment horizontal="center"/>
    </xf>
    <xf numFmtId="0" fontId="0" fillId="52" borderId="12" xfId="0" applyNumberFormat="1" applyFill="1" applyBorder="1" applyAlignment="1">
      <alignment horizontal="center" vertical="center"/>
    </xf>
    <xf numFmtId="0" fontId="13" fillId="53" borderId="22" xfId="0" applyFont="1" applyFill="1" applyBorder="1" applyAlignment="1">
      <alignment horizontal="left" vertical="center" wrapText="1"/>
    </xf>
    <xf numFmtId="0" fontId="0" fillId="52" borderId="25" xfId="0" applyNumberFormat="1" applyFill="1" applyBorder="1" applyAlignment="1">
      <alignment horizontal="center" vertical="center"/>
    </xf>
    <xf numFmtId="0" fontId="13" fillId="53" borderId="20" xfId="0" applyFont="1" applyFill="1" applyBorder="1" applyAlignment="1">
      <alignment horizontal="left" vertical="center" wrapText="1"/>
    </xf>
    <xf numFmtId="3" fontId="0" fillId="52" borderId="12" xfId="0" applyNumberForma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left" vertical="center" wrapText="1"/>
    </xf>
    <xf numFmtId="3" fontId="0" fillId="52" borderId="25" xfId="0" applyNumberFormat="1" applyFill="1" applyBorder="1" applyAlignment="1">
      <alignment horizontal="center" vertical="center"/>
    </xf>
    <xf numFmtId="3" fontId="0" fillId="53" borderId="15" xfId="0" applyNumberFormat="1" applyFont="1" applyFill="1" applyBorder="1" applyAlignment="1">
      <alignment horizontal="center"/>
    </xf>
    <xf numFmtId="3" fontId="0" fillId="52" borderId="37" xfId="0" applyNumberFormat="1" applyFill="1" applyBorder="1" applyAlignment="1">
      <alignment horizontal="center" vertical="center"/>
    </xf>
    <xf numFmtId="3" fontId="0" fillId="52" borderId="58" xfId="0" applyNumberFormat="1" applyFill="1" applyBorder="1" applyAlignment="1">
      <alignment horizontal="center" vertical="center"/>
    </xf>
    <xf numFmtId="3" fontId="0" fillId="53" borderId="14" xfId="0" applyNumberFormat="1" applyFont="1" applyFill="1" applyBorder="1" applyAlignment="1">
      <alignment horizontal="center"/>
    </xf>
    <xf numFmtId="3" fontId="0" fillId="52" borderId="53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16" fillId="0" borderId="0" xfId="0" applyFont="1"/>
    <xf numFmtId="0" fontId="37" fillId="0" borderId="0" xfId="0" applyFont="1" applyAlignment="1">
      <alignment wrapText="1"/>
    </xf>
    <xf numFmtId="0" fontId="23" fillId="0" borderId="0" xfId="0" applyFont="1" applyAlignment="1">
      <alignment horizontal="center"/>
    </xf>
    <xf numFmtId="0" fontId="21" fillId="11" borderId="1" xfId="0" applyFont="1" applyFill="1" applyBorder="1" applyAlignment="1">
      <alignment horizontal="center" vertical="center"/>
    </xf>
    <xf numFmtId="0" fontId="21" fillId="12" borderId="1" xfId="0" applyFont="1" applyFill="1" applyBorder="1" applyAlignment="1">
      <alignment horizontal="center" vertical="center" wrapText="1"/>
    </xf>
    <xf numFmtId="0" fontId="21" fillId="13" borderId="1" xfId="0" applyFont="1" applyFill="1" applyBorder="1" applyAlignment="1">
      <alignment horizontal="center" vertical="center"/>
    </xf>
    <xf numFmtId="0" fontId="42" fillId="5" borderId="1" xfId="0" applyFont="1" applyFill="1" applyBorder="1" applyAlignment="1">
      <alignment horizontal="left"/>
    </xf>
    <xf numFmtId="0" fontId="22" fillId="5" borderId="1" xfId="0" applyNumberFormat="1" applyFont="1" applyFill="1" applyBorder="1" applyAlignment="1">
      <alignment horizontal="center"/>
    </xf>
    <xf numFmtId="10" fontId="22" fillId="10" borderId="1" xfId="0" applyNumberFormat="1" applyFont="1" applyFill="1" applyBorder="1" applyAlignment="1">
      <alignment horizontal="center"/>
    </xf>
    <xf numFmtId="0" fontId="44" fillId="0" borderId="0" xfId="0" applyFont="1"/>
    <xf numFmtId="0" fontId="43" fillId="46" borderId="1" xfId="0" applyFont="1" applyFill="1" applyBorder="1" applyAlignment="1">
      <alignment horizontal="left"/>
    </xf>
    <xf numFmtId="0" fontId="42" fillId="46" borderId="1" xfId="0" applyNumberFormat="1" applyFont="1" applyFill="1" applyBorder="1" applyAlignment="1">
      <alignment horizontal="center"/>
    </xf>
    <xf numFmtId="10" fontId="22" fillId="10" borderId="4" xfId="0" applyNumberFormat="1" applyFont="1" applyFill="1" applyBorder="1" applyAlignment="1">
      <alignment horizontal="center"/>
    </xf>
    <xf numFmtId="0" fontId="0" fillId="45" borderId="1" xfId="0" applyFill="1" applyBorder="1"/>
    <xf numFmtId="0" fontId="0" fillId="45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right"/>
    </xf>
    <xf numFmtId="0" fontId="18" fillId="9" borderId="1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left" vertical="center" wrapText="1"/>
    </xf>
    <xf numFmtId="3" fontId="0" fillId="4" borderId="14" xfId="0" applyNumberFormat="1" applyFont="1" applyFill="1" applyBorder="1" applyAlignment="1">
      <alignment horizontal="center"/>
    </xf>
    <xf numFmtId="3" fontId="0" fillId="4" borderId="15" xfId="0" applyNumberFormat="1" applyFont="1" applyFill="1" applyBorder="1" applyAlignment="1">
      <alignment horizontal="center"/>
    </xf>
    <xf numFmtId="3" fontId="3" fillId="52" borderId="68" xfId="0" applyNumberFormat="1" applyFont="1" applyFill="1" applyBorder="1" applyAlignment="1">
      <alignment horizontal="center"/>
    </xf>
    <xf numFmtId="3" fontId="3" fillId="52" borderId="69" xfId="0" applyNumberFormat="1" applyFont="1" applyFill="1" applyBorder="1" applyAlignment="1">
      <alignment horizontal="center"/>
    </xf>
    <xf numFmtId="3" fontId="3" fillId="53" borderId="68" xfId="0" applyNumberFormat="1" applyFont="1" applyFill="1" applyBorder="1" applyAlignment="1">
      <alignment horizontal="center"/>
    </xf>
    <xf numFmtId="3" fontId="3" fillId="53" borderId="69" xfId="0" applyNumberFormat="1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164" fontId="45" fillId="48" borderId="1" xfId="44" applyNumberFormat="1" applyFont="1" applyFill="1" applyBorder="1" applyAlignment="1" applyProtection="1">
      <alignment horizontal="center" vertical="center"/>
    </xf>
    <xf numFmtId="0" fontId="39" fillId="0" borderId="0" xfId="0" applyFont="1" applyFill="1" applyBorder="1" applyAlignment="1" applyProtection="1">
      <alignment horizontal="center" vertical="center" wrapText="1"/>
    </xf>
    <xf numFmtId="164" fontId="48" fillId="0" borderId="0" xfId="44" applyNumberFormat="1" applyFont="1" applyFill="1" applyBorder="1" applyAlignment="1" applyProtection="1">
      <alignment horizontal="center" vertical="center"/>
    </xf>
    <xf numFmtId="0" fontId="47" fillId="0" borderId="0" xfId="0" applyFont="1" applyFill="1" applyProtection="1"/>
    <xf numFmtId="164" fontId="47" fillId="0" borderId="1" xfId="44" applyNumberFormat="1" applyFont="1" applyBorder="1" applyAlignment="1" applyProtection="1">
      <alignment horizontal="center" vertical="center"/>
    </xf>
    <xf numFmtId="0" fontId="39" fillId="4" borderId="1" xfId="0" applyFont="1" applyFill="1" applyBorder="1" applyAlignment="1" applyProtection="1">
      <alignment vertical="center" wrapText="1"/>
    </xf>
    <xf numFmtId="0" fontId="39" fillId="4" borderId="1" xfId="0" applyFont="1" applyFill="1" applyBorder="1" applyAlignment="1" applyProtection="1">
      <alignment horizontal="center" vertical="center" wrapText="1"/>
    </xf>
    <xf numFmtId="3" fontId="49" fillId="4" borderId="1" xfId="0" applyNumberFormat="1" applyFont="1" applyFill="1" applyBorder="1" applyAlignment="1" applyProtection="1">
      <alignment horizontal="center" vertical="center"/>
    </xf>
    <xf numFmtId="164" fontId="47" fillId="4" borderId="1" xfId="44" applyNumberFormat="1" applyFont="1" applyFill="1" applyBorder="1" applyAlignment="1" applyProtection="1">
      <alignment horizontal="center" vertical="center"/>
    </xf>
    <xf numFmtId="0" fontId="47" fillId="0" borderId="0" xfId="0" applyNumberFormat="1" applyFont="1" applyFill="1" applyBorder="1" applyProtection="1"/>
    <xf numFmtId="0" fontId="3" fillId="9" borderId="84" xfId="0" applyFont="1" applyFill="1" applyBorder="1" applyAlignment="1">
      <alignment horizontal="center"/>
    </xf>
    <xf numFmtId="0" fontId="3" fillId="9" borderId="85" xfId="0" applyNumberFormat="1" applyFont="1" applyFill="1" applyBorder="1" applyAlignment="1">
      <alignment horizontal="center" vertical="center"/>
    </xf>
    <xf numFmtId="0" fontId="3" fillId="9" borderId="86" xfId="0" applyNumberFormat="1" applyFont="1" applyFill="1" applyBorder="1" applyAlignment="1">
      <alignment horizontal="center" vertical="center"/>
    </xf>
    <xf numFmtId="0" fontId="3" fillId="9" borderId="24" xfId="0" applyNumberFormat="1" applyFont="1" applyFill="1" applyBorder="1" applyAlignment="1">
      <alignment horizontal="center" vertical="center"/>
    </xf>
    <xf numFmtId="10" fontId="3" fillId="9" borderId="87" xfId="1" applyNumberFormat="1" applyFont="1" applyFill="1" applyBorder="1" applyAlignment="1">
      <alignment horizontal="center" vertical="center"/>
    </xf>
    <xf numFmtId="3" fontId="0" fillId="55" borderId="12" xfId="0" applyNumberFormat="1" applyFont="1" applyFill="1" applyBorder="1" applyAlignment="1">
      <alignment horizontal="center"/>
    </xf>
    <xf numFmtId="0" fontId="3" fillId="56" borderId="17" xfId="0" applyNumberFormat="1" applyFont="1" applyFill="1" applyBorder="1"/>
    <xf numFmtId="0" fontId="3" fillId="56" borderId="18" xfId="0" applyNumberFormat="1" applyFont="1" applyFill="1" applyBorder="1"/>
    <xf numFmtId="0" fontId="3" fillId="56" borderId="19" xfId="0" applyNumberFormat="1" applyFont="1" applyFill="1" applyBorder="1"/>
    <xf numFmtId="0" fontId="3" fillId="56" borderId="24" xfId="0" applyNumberFormat="1" applyFont="1" applyFill="1" applyBorder="1"/>
    <xf numFmtId="0" fontId="0" fillId="56" borderId="20" xfId="0" applyFont="1" applyFill="1" applyBorder="1" applyAlignment="1">
      <alignment horizontal="left"/>
    </xf>
    <xf numFmtId="0" fontId="0" fillId="56" borderId="21" xfId="0" applyFont="1" applyFill="1" applyBorder="1" applyAlignment="1">
      <alignment horizontal="left"/>
    </xf>
    <xf numFmtId="0" fontId="0" fillId="56" borderId="22" xfId="0" applyFont="1" applyFill="1" applyBorder="1" applyAlignment="1">
      <alignment horizontal="left"/>
    </xf>
    <xf numFmtId="0" fontId="3" fillId="56" borderId="77" xfId="0" applyFont="1" applyFill="1" applyBorder="1"/>
    <xf numFmtId="0" fontId="3" fillId="56" borderId="78" xfId="0" applyFont="1" applyFill="1" applyBorder="1"/>
    <xf numFmtId="0" fontId="3" fillId="56" borderId="79" xfId="0" applyFont="1" applyFill="1" applyBorder="1" applyAlignment="1">
      <alignment horizontal="center" vertical="center" wrapText="1"/>
    </xf>
    <xf numFmtId="0" fontId="42" fillId="2" borderId="77" xfId="0" applyFont="1" applyFill="1" applyBorder="1" applyAlignment="1">
      <alignment horizontal="left"/>
    </xf>
    <xf numFmtId="0" fontId="42" fillId="2" borderId="114" xfId="0" applyFont="1" applyFill="1" applyBorder="1" applyAlignment="1">
      <alignment horizontal="left"/>
    </xf>
    <xf numFmtId="164" fontId="0" fillId="2" borderId="31" xfId="1" applyNumberFormat="1" applyFont="1" applyFill="1" applyBorder="1"/>
    <xf numFmtId="0" fontId="0" fillId="2" borderId="32" xfId="0" applyNumberFormat="1" applyFill="1" applyBorder="1" applyAlignment="1">
      <alignment horizontal="center"/>
    </xf>
    <xf numFmtId="164" fontId="0" fillId="2" borderId="32" xfId="1" applyNumberFormat="1" applyFont="1" applyFill="1" applyBorder="1"/>
    <xf numFmtId="0" fontId="3" fillId="2" borderId="77" xfId="0" applyFont="1" applyFill="1" applyBorder="1" applyAlignment="1">
      <alignment horizontal="left"/>
    </xf>
    <xf numFmtId="0" fontId="3" fillId="2" borderId="114" xfId="0" applyFont="1" applyFill="1" applyBorder="1" applyAlignment="1">
      <alignment horizontal="left"/>
    </xf>
    <xf numFmtId="0" fontId="0" fillId="2" borderId="13" xfId="0" applyNumberFormat="1" applyFill="1" applyBorder="1" applyAlignment="1">
      <alignment horizontal="center"/>
    </xf>
    <xf numFmtId="9" fontId="0" fillId="2" borderId="31" xfId="1" applyFont="1" applyFill="1" applyBorder="1"/>
    <xf numFmtId="9" fontId="0" fillId="2" borderId="32" xfId="1" applyFont="1" applyFill="1" applyBorder="1"/>
    <xf numFmtId="9" fontId="0" fillId="2" borderId="33" xfId="1" applyFont="1" applyFill="1" applyBorder="1"/>
    <xf numFmtId="0" fontId="3" fillId="2" borderId="79" xfId="0" applyNumberFormat="1" applyFont="1" applyFill="1" applyBorder="1" applyAlignment="1">
      <alignment horizontal="center"/>
    </xf>
    <xf numFmtId="9" fontId="0" fillId="2" borderId="31" xfId="1" applyNumberFormat="1" applyFont="1" applyFill="1" applyBorder="1"/>
    <xf numFmtId="9" fontId="0" fillId="2" borderId="32" xfId="1" applyNumberFormat="1" applyFont="1" applyFill="1" applyBorder="1"/>
    <xf numFmtId="9" fontId="0" fillId="2" borderId="33" xfId="1" applyNumberFormat="1" applyFont="1" applyFill="1" applyBorder="1"/>
    <xf numFmtId="0" fontId="3" fillId="2" borderId="17" xfId="0" applyFont="1" applyFill="1" applyBorder="1" applyAlignment="1">
      <alignment horizontal="left"/>
    </xf>
    <xf numFmtId="0" fontId="3" fillId="2" borderId="119" xfId="0" applyFont="1" applyFill="1" applyBorder="1" applyAlignment="1">
      <alignment horizontal="left"/>
    </xf>
    <xf numFmtId="0" fontId="3" fillId="2" borderId="18" xfId="0" applyNumberFormat="1" applyFont="1" applyFill="1" applyBorder="1" applyAlignment="1">
      <alignment horizontal="center"/>
    </xf>
    <xf numFmtId="0" fontId="3" fillId="2" borderId="19" xfId="0" applyNumberFormat="1" applyFont="1" applyFill="1" applyBorder="1" applyAlignment="1">
      <alignment horizontal="center"/>
    </xf>
    <xf numFmtId="0" fontId="0" fillId="57" borderId="20" xfId="0" applyFont="1" applyFill="1" applyBorder="1" applyAlignment="1">
      <alignment horizontal="left"/>
    </xf>
    <xf numFmtId="0" fontId="0" fillId="57" borderId="21" xfId="0" applyFont="1" applyFill="1" applyBorder="1" applyAlignment="1">
      <alignment horizontal="left"/>
    </xf>
    <xf numFmtId="0" fontId="0" fillId="57" borderId="22" xfId="0" applyFont="1" applyFill="1" applyBorder="1" applyAlignment="1">
      <alignment horizontal="left"/>
    </xf>
    <xf numFmtId="3" fontId="0" fillId="57" borderId="12" xfId="0" applyNumberFormat="1" applyFont="1" applyFill="1" applyBorder="1" applyAlignment="1">
      <alignment horizontal="center"/>
    </xf>
    <xf numFmtId="3" fontId="0" fillId="57" borderId="13" xfId="0" applyNumberFormat="1" applyFont="1" applyFill="1" applyBorder="1" applyAlignment="1">
      <alignment horizontal="center"/>
    </xf>
    <xf numFmtId="3" fontId="0" fillId="57" borderId="32" xfId="0" applyNumberFormat="1" applyFont="1" applyFill="1" applyBorder="1" applyAlignment="1">
      <alignment horizontal="center"/>
    </xf>
    <xf numFmtId="3" fontId="0" fillId="57" borderId="15" xfId="0" applyNumberFormat="1" applyFont="1" applyFill="1" applyBorder="1" applyAlignment="1">
      <alignment horizontal="center"/>
    </xf>
    <xf numFmtId="3" fontId="0" fillId="57" borderId="16" xfId="0" applyNumberFormat="1" applyFont="1" applyFill="1" applyBorder="1" applyAlignment="1">
      <alignment horizontal="center"/>
    </xf>
    <xf numFmtId="3" fontId="0" fillId="57" borderId="33" xfId="0" applyNumberFormat="1" applyFont="1" applyFill="1" applyBorder="1" applyAlignment="1">
      <alignment horizontal="center"/>
    </xf>
    <xf numFmtId="3" fontId="3" fillId="57" borderId="32" xfId="0" applyNumberFormat="1" applyFont="1" applyFill="1" applyBorder="1" applyAlignment="1">
      <alignment horizontal="center"/>
    </xf>
    <xf numFmtId="3" fontId="3" fillId="57" borderId="31" xfId="0" applyNumberFormat="1" applyFont="1" applyFill="1" applyBorder="1" applyAlignment="1">
      <alignment horizontal="center"/>
    </xf>
    <xf numFmtId="0" fontId="3" fillId="57" borderId="18" xfId="0" applyNumberFormat="1" applyFont="1" applyFill="1" applyBorder="1"/>
    <xf numFmtId="0" fontId="3" fillId="57" borderId="19" xfId="0" applyNumberFormat="1" applyFont="1" applyFill="1" applyBorder="1"/>
    <xf numFmtId="0" fontId="3" fillId="57" borderId="87" xfId="0" applyNumberFormat="1" applyFont="1" applyFill="1" applyBorder="1" applyAlignment="1">
      <alignment horizontal="center"/>
    </xf>
    <xf numFmtId="0" fontId="3" fillId="58" borderId="17" xfId="0" applyNumberFormat="1" applyFont="1" applyFill="1" applyBorder="1"/>
    <xf numFmtId="0" fontId="3" fillId="58" borderId="18" xfId="0" applyNumberFormat="1" applyFont="1" applyFill="1" applyBorder="1"/>
    <xf numFmtId="0" fontId="3" fillId="58" borderId="19" xfId="0" applyNumberFormat="1" applyFont="1" applyFill="1" applyBorder="1"/>
    <xf numFmtId="0" fontId="3" fillId="58" borderId="24" xfId="0" applyNumberFormat="1" applyFont="1" applyFill="1" applyBorder="1"/>
    <xf numFmtId="0" fontId="0" fillId="58" borderId="20" xfId="0" applyFont="1" applyFill="1" applyBorder="1" applyAlignment="1">
      <alignment horizontal="left"/>
    </xf>
    <xf numFmtId="0" fontId="0" fillId="58" borderId="21" xfId="0" applyFont="1" applyFill="1" applyBorder="1" applyAlignment="1">
      <alignment horizontal="left"/>
    </xf>
    <xf numFmtId="0" fontId="0" fillId="58" borderId="22" xfId="0" applyFont="1" applyFill="1" applyBorder="1" applyAlignment="1">
      <alignment horizontal="left"/>
    </xf>
    <xf numFmtId="3" fontId="35" fillId="0" borderId="0" xfId="0" applyNumberFormat="1" applyFont="1"/>
    <xf numFmtId="3" fontId="0" fillId="52" borderId="115" xfId="0" applyNumberFormat="1" applyFont="1" applyFill="1" applyBorder="1" applyAlignment="1">
      <alignment horizontal="center"/>
    </xf>
    <xf numFmtId="3" fontId="0" fillId="52" borderId="118" xfId="0" applyNumberFormat="1" applyFont="1" applyFill="1" applyBorder="1" applyAlignment="1">
      <alignment horizontal="center"/>
    </xf>
    <xf numFmtId="3" fontId="0" fillId="53" borderId="115" xfId="0" applyNumberFormat="1" applyFont="1" applyFill="1" applyBorder="1" applyAlignment="1">
      <alignment horizontal="center"/>
    </xf>
    <xf numFmtId="3" fontId="0" fillId="53" borderId="118" xfId="0" applyNumberFormat="1" applyFont="1" applyFill="1" applyBorder="1" applyAlignment="1">
      <alignment horizontal="center"/>
    </xf>
    <xf numFmtId="3" fontId="0" fillId="4" borderId="10" xfId="0" applyNumberFormat="1" applyFont="1" applyFill="1" applyBorder="1" applyAlignment="1">
      <alignment horizontal="center"/>
    </xf>
    <xf numFmtId="3" fontId="0" fillId="4" borderId="16" xfId="0" applyNumberFormat="1" applyFont="1" applyFill="1" applyBorder="1" applyAlignment="1">
      <alignment horizontal="center"/>
    </xf>
    <xf numFmtId="0" fontId="0" fillId="0" borderId="128" xfId="0" applyBorder="1" applyAlignment="1">
      <alignment horizontal="left" indent="1"/>
    </xf>
    <xf numFmtId="0" fontId="42" fillId="2" borderId="78" xfId="0" applyFont="1" applyFill="1" applyBorder="1" applyAlignment="1">
      <alignment horizontal="left"/>
    </xf>
    <xf numFmtId="0" fontId="0" fillId="0" borderId="129" xfId="0" applyBorder="1"/>
    <xf numFmtId="0" fontId="0" fillId="0" borderId="106" xfId="0" applyBorder="1"/>
    <xf numFmtId="0" fontId="0" fillId="0" borderId="130" xfId="0" applyBorder="1"/>
    <xf numFmtId="0" fontId="0" fillId="0" borderId="95" xfId="0" applyBorder="1"/>
    <xf numFmtId="165" fontId="42" fillId="2" borderId="78" xfId="45" applyNumberFormat="1" applyFont="1" applyFill="1" applyBorder="1" applyAlignment="1">
      <alignment horizontal="center"/>
    </xf>
    <xf numFmtId="165" fontId="0" fillId="0" borderId="106" xfId="45" applyNumberFormat="1" applyFont="1" applyBorder="1" applyAlignment="1">
      <alignment horizontal="left" indent="1"/>
    </xf>
    <xf numFmtId="165" fontId="0" fillId="0" borderId="106" xfId="45" applyNumberFormat="1" applyFont="1" applyBorder="1"/>
    <xf numFmtId="165" fontId="0" fillId="0" borderId="106" xfId="45" applyNumberFormat="1" applyFont="1" applyBorder="1" applyAlignment="1">
      <alignment horizontal="center"/>
    </xf>
    <xf numFmtId="165" fontId="0" fillId="0" borderId="115" xfId="45" applyNumberFormat="1" applyFont="1" applyBorder="1" applyAlignment="1">
      <alignment horizontal="center"/>
    </xf>
    <xf numFmtId="165" fontId="0" fillId="2" borderId="31" xfId="45" applyNumberFormat="1" applyFont="1" applyFill="1" applyBorder="1" applyAlignment="1">
      <alignment horizontal="center"/>
    </xf>
    <xf numFmtId="165" fontId="0" fillId="0" borderId="95" xfId="45" applyNumberFormat="1" applyFont="1" applyBorder="1" applyAlignment="1">
      <alignment horizontal="left" indent="1"/>
    </xf>
    <xf numFmtId="165" fontId="0" fillId="0" borderId="95" xfId="45" applyNumberFormat="1" applyFont="1" applyBorder="1"/>
    <xf numFmtId="165" fontId="0" fillId="0" borderId="95" xfId="45" applyNumberFormat="1" applyFont="1" applyBorder="1" applyAlignment="1">
      <alignment horizontal="center"/>
    </xf>
    <xf numFmtId="165" fontId="0" fillId="0" borderId="116" xfId="45" applyNumberFormat="1" applyFont="1" applyBorder="1" applyAlignment="1">
      <alignment horizontal="center"/>
    </xf>
    <xf numFmtId="165" fontId="0" fillId="2" borderId="32" xfId="45" applyNumberFormat="1" applyFont="1" applyFill="1" applyBorder="1" applyAlignment="1">
      <alignment horizontal="center"/>
    </xf>
    <xf numFmtId="0" fontId="0" fillId="0" borderId="131" xfId="0" applyBorder="1"/>
    <xf numFmtId="0" fontId="0" fillId="0" borderId="99" xfId="0" applyBorder="1"/>
    <xf numFmtId="165" fontId="0" fillId="0" borderId="99" xfId="45" applyNumberFormat="1" applyFont="1" applyBorder="1" applyAlignment="1">
      <alignment horizontal="left" indent="1"/>
    </xf>
    <xf numFmtId="165" fontId="0" fillId="0" borderId="99" xfId="45" applyNumberFormat="1" applyFont="1" applyBorder="1"/>
    <xf numFmtId="165" fontId="0" fillId="0" borderId="99" xfId="45" applyNumberFormat="1" applyFont="1" applyBorder="1" applyAlignment="1">
      <alignment horizontal="center"/>
    </xf>
    <xf numFmtId="165" fontId="0" fillId="0" borderId="117" xfId="45" applyNumberFormat="1" applyFont="1" applyBorder="1" applyAlignment="1">
      <alignment horizontal="center"/>
    </xf>
    <xf numFmtId="165" fontId="0" fillId="2" borderId="34" xfId="45" applyNumberFormat="1" applyFont="1" applyFill="1" applyBorder="1" applyAlignment="1">
      <alignment horizontal="center"/>
    </xf>
    <xf numFmtId="0" fontId="0" fillId="0" borderId="132" xfId="0" applyBorder="1" applyAlignment="1">
      <alignment horizontal="left" indent="1"/>
    </xf>
    <xf numFmtId="0" fontId="0" fillId="0" borderId="133" xfId="0" applyNumberFormat="1" applyBorder="1" applyAlignment="1">
      <alignment horizontal="center"/>
    </xf>
    <xf numFmtId="0" fontId="0" fillId="2" borderId="134" xfId="0" applyNumberFormat="1" applyFill="1" applyBorder="1" applyAlignment="1">
      <alignment horizontal="center"/>
    </xf>
    <xf numFmtId="0" fontId="3" fillId="2" borderId="135" xfId="0" applyFont="1" applyFill="1" applyBorder="1" applyAlignment="1">
      <alignment horizontal="left"/>
    </xf>
    <xf numFmtId="0" fontId="3" fillId="2" borderId="85" xfId="0" applyNumberFormat="1" applyFont="1" applyFill="1" applyBorder="1" applyAlignment="1">
      <alignment horizontal="center"/>
    </xf>
    <xf numFmtId="0" fontId="3" fillId="2" borderId="136" xfId="0" applyNumberFormat="1" applyFont="1" applyFill="1" applyBorder="1" applyAlignment="1">
      <alignment horizontal="center"/>
    </xf>
    <xf numFmtId="0" fontId="0" fillId="0" borderId="116" xfId="0" applyBorder="1" applyAlignment="1">
      <alignment horizontal="right" indent="1"/>
    </xf>
    <xf numFmtId="0" fontId="3" fillId="45" borderId="83" xfId="0" applyFont="1" applyFill="1" applyBorder="1"/>
    <xf numFmtId="0" fontId="3" fillId="45" borderId="82" xfId="0" applyFont="1" applyFill="1" applyBorder="1"/>
    <xf numFmtId="0" fontId="3" fillId="45" borderId="120" xfId="0" applyFont="1" applyFill="1" applyBorder="1"/>
    <xf numFmtId="0" fontId="0" fillId="0" borderId="120" xfId="0" applyBorder="1"/>
    <xf numFmtId="0" fontId="0" fillId="0" borderId="82" xfId="0" applyBorder="1"/>
    <xf numFmtId="0" fontId="3" fillId="59" borderId="29" xfId="0" applyFont="1" applyFill="1" applyBorder="1"/>
    <xf numFmtId="0" fontId="0" fillId="0" borderId="30" xfId="0" applyBorder="1"/>
    <xf numFmtId="0" fontId="3" fillId="45" borderId="35" xfId="0" applyFont="1" applyFill="1" applyBorder="1"/>
    <xf numFmtId="0" fontId="3" fillId="45" borderId="24" xfId="0" applyFont="1" applyFill="1" applyBorder="1"/>
    <xf numFmtId="0" fontId="3" fillId="45" borderId="18" xfId="0" applyFont="1" applyFill="1" applyBorder="1"/>
    <xf numFmtId="0" fontId="3" fillId="45" borderId="19" xfId="0" applyFont="1" applyFill="1" applyBorder="1"/>
    <xf numFmtId="0" fontId="3" fillId="45" borderId="6" xfId="0" applyFont="1" applyFill="1" applyBorder="1"/>
    <xf numFmtId="0" fontId="0" fillId="0" borderId="12" xfId="0" applyBorder="1"/>
    <xf numFmtId="0" fontId="0" fillId="0" borderId="13" xfId="0" applyBorder="1"/>
    <xf numFmtId="0" fontId="0" fillId="0" borderId="102" xfId="0" applyBorder="1"/>
    <xf numFmtId="0" fontId="0" fillId="0" borderId="103" xfId="0" applyBorder="1"/>
    <xf numFmtId="0" fontId="0" fillId="0" borderId="138" xfId="0" applyBorder="1"/>
    <xf numFmtId="0" fontId="0" fillId="45" borderId="18" xfId="0" applyFill="1" applyBorder="1"/>
    <xf numFmtId="0" fontId="3" fillId="45" borderId="87" xfId="0" applyFont="1" applyFill="1" applyBorder="1"/>
    <xf numFmtId="0" fontId="3" fillId="45" borderId="17" xfId="0" applyFont="1" applyFill="1" applyBorder="1"/>
    <xf numFmtId="0" fontId="0" fillId="0" borderId="132" xfId="0" applyBorder="1"/>
    <xf numFmtId="0" fontId="0" fillId="0" borderId="133" xfId="0" applyBorder="1"/>
    <xf numFmtId="0" fontId="0" fillId="0" borderId="134" xfId="0" applyBorder="1"/>
    <xf numFmtId="0" fontId="42" fillId="45" borderId="87" xfId="0" applyFont="1" applyFill="1" applyBorder="1" applyAlignment="1">
      <alignment horizontal="left"/>
    </xf>
    <xf numFmtId="0" fontId="3" fillId="45" borderId="119" xfId="0" applyFont="1" applyFill="1" applyBorder="1" applyAlignment="1">
      <alignment horizontal="center" vertical="center"/>
    </xf>
    <xf numFmtId="0" fontId="3" fillId="45" borderId="18" xfId="0" applyFont="1" applyFill="1" applyBorder="1" applyAlignment="1">
      <alignment horizontal="center" vertical="center"/>
    </xf>
    <xf numFmtId="0" fontId="3" fillId="45" borderId="75" xfId="0" applyFont="1" applyFill="1" applyBorder="1" applyAlignment="1">
      <alignment horizontal="center" vertical="center"/>
    </xf>
    <xf numFmtId="0" fontId="3" fillId="45" borderId="87" xfId="0" applyFont="1" applyFill="1" applyBorder="1" applyAlignment="1">
      <alignment horizontal="center" vertical="center"/>
    </xf>
    <xf numFmtId="165" fontId="3" fillId="45" borderId="119" xfId="45" applyNumberFormat="1" applyFont="1" applyFill="1" applyBorder="1" applyAlignment="1">
      <alignment wrapText="1"/>
    </xf>
    <xf numFmtId="165" fontId="3" fillId="45" borderId="18" xfId="45" applyNumberFormat="1" applyFont="1" applyFill="1" applyBorder="1" applyAlignment="1">
      <alignment wrapText="1"/>
    </xf>
    <xf numFmtId="165" fontId="3" fillId="45" borderId="75" xfId="45" applyNumberFormat="1" applyFont="1" applyFill="1" applyBorder="1" applyAlignment="1">
      <alignment wrapText="1"/>
    </xf>
    <xf numFmtId="165" fontId="3" fillId="45" borderId="87" xfId="45" applyNumberFormat="1" applyFont="1" applyFill="1" applyBorder="1" applyAlignment="1">
      <alignment wrapText="1"/>
    </xf>
    <xf numFmtId="165" fontId="3" fillId="45" borderId="139" xfId="45" applyNumberFormat="1" applyFont="1" applyFill="1" applyBorder="1" applyAlignment="1">
      <alignment wrapText="1"/>
    </xf>
    <xf numFmtId="165" fontId="3" fillId="45" borderId="137" xfId="45" applyNumberFormat="1" applyFont="1" applyFill="1" applyBorder="1" applyAlignment="1">
      <alignment wrapText="1"/>
    </xf>
    <xf numFmtId="165" fontId="3" fillId="45" borderId="140" xfId="45" applyNumberFormat="1" applyFont="1" applyFill="1" applyBorder="1" applyAlignment="1">
      <alignment wrapText="1"/>
    </xf>
    <xf numFmtId="165" fontId="3" fillId="45" borderId="83" xfId="45" applyNumberFormat="1" applyFont="1" applyFill="1" applyBorder="1" applyAlignment="1">
      <alignment wrapText="1"/>
    </xf>
    <xf numFmtId="165" fontId="0" fillId="0" borderId="8" xfId="45" applyNumberFormat="1" applyFont="1" applyBorder="1"/>
    <xf numFmtId="165" fontId="0" fillId="0" borderId="9" xfId="45" applyNumberFormat="1" applyFont="1" applyBorder="1"/>
    <xf numFmtId="165" fontId="0" fillId="0" borderId="10" xfId="45" applyNumberFormat="1" applyFont="1" applyBorder="1"/>
    <xf numFmtId="165" fontId="0" fillId="0" borderId="82" xfId="45" applyNumberFormat="1" applyFont="1" applyBorder="1"/>
    <xf numFmtId="165" fontId="0" fillId="0" borderId="11" xfId="45" applyNumberFormat="1" applyFont="1" applyBorder="1"/>
    <xf numFmtId="165" fontId="0" fillId="0" borderId="12" xfId="45" applyNumberFormat="1" applyFont="1" applyBorder="1"/>
    <xf numFmtId="165" fontId="0" fillId="0" borderId="13" xfId="45" applyNumberFormat="1" applyFont="1" applyBorder="1"/>
    <xf numFmtId="165" fontId="0" fillId="0" borderId="102" xfId="45" applyNumberFormat="1" applyFont="1" applyBorder="1"/>
    <xf numFmtId="165" fontId="0" fillId="0" borderId="103" xfId="45" applyNumberFormat="1" applyFont="1" applyBorder="1"/>
    <xf numFmtId="165" fontId="0" fillId="0" borderId="138" xfId="45" applyNumberFormat="1" applyFont="1" applyBorder="1"/>
    <xf numFmtId="165" fontId="3" fillId="45" borderId="17" xfId="45" applyNumberFormat="1" applyFont="1" applyFill="1" applyBorder="1"/>
    <xf numFmtId="165" fontId="3" fillId="45" borderId="18" xfId="45" applyNumberFormat="1" applyFont="1" applyFill="1" applyBorder="1"/>
    <xf numFmtId="165" fontId="3" fillId="45" borderId="19" xfId="45" applyNumberFormat="1" applyFont="1" applyFill="1" applyBorder="1"/>
    <xf numFmtId="165" fontId="3" fillId="45" borderId="24" xfId="45" applyNumberFormat="1" applyFont="1" applyFill="1" applyBorder="1"/>
    <xf numFmtId="165" fontId="0" fillId="0" borderId="132" xfId="45" applyNumberFormat="1" applyFont="1" applyBorder="1"/>
    <xf numFmtId="165" fontId="0" fillId="0" borderId="133" xfId="45" applyNumberFormat="1" applyFont="1" applyBorder="1"/>
    <xf numFmtId="165" fontId="0" fillId="0" borderId="134" xfId="45" applyNumberFormat="1" applyFont="1" applyBorder="1"/>
    <xf numFmtId="165" fontId="0" fillId="58" borderId="11" xfId="45" applyNumberFormat="1" applyFont="1" applyFill="1" applyBorder="1" applyAlignment="1">
      <alignment horizontal="center" vertical="center"/>
    </xf>
    <xf numFmtId="165" fontId="0" fillId="58" borderId="12" xfId="45" applyNumberFormat="1" applyFont="1" applyFill="1" applyBorder="1" applyAlignment="1">
      <alignment horizontal="center" vertical="center"/>
    </xf>
    <xf numFmtId="165" fontId="0" fillId="58" borderId="13" xfId="45" applyNumberFormat="1" applyFont="1" applyFill="1" applyBorder="1" applyAlignment="1">
      <alignment horizontal="center" vertical="center"/>
    </xf>
    <xf numFmtId="165" fontId="3" fillId="58" borderId="70" xfId="45" applyNumberFormat="1" applyFont="1" applyFill="1" applyBorder="1" applyAlignment="1">
      <alignment horizontal="center" vertical="center"/>
    </xf>
    <xf numFmtId="165" fontId="0" fillId="58" borderId="11" xfId="45" applyNumberFormat="1" applyFont="1" applyFill="1" applyBorder="1"/>
    <xf numFmtId="165" fontId="0" fillId="58" borderId="12" xfId="45" applyNumberFormat="1" applyFont="1" applyFill="1" applyBorder="1"/>
    <xf numFmtId="165" fontId="0" fillId="58" borderId="13" xfId="45" applyNumberFormat="1" applyFont="1" applyFill="1" applyBorder="1"/>
    <xf numFmtId="165" fontId="0" fillId="58" borderId="70" xfId="45" applyNumberFormat="1" applyFont="1" applyFill="1" applyBorder="1"/>
    <xf numFmtId="165" fontId="0" fillId="58" borderId="14" xfId="45" applyNumberFormat="1" applyFont="1" applyFill="1" applyBorder="1"/>
    <xf numFmtId="165" fontId="0" fillId="58" borderId="15" xfId="45" applyNumberFormat="1" applyFont="1" applyFill="1" applyBorder="1"/>
    <xf numFmtId="165" fontId="0" fillId="58" borderId="16" xfId="45" applyNumberFormat="1" applyFont="1" applyFill="1" applyBorder="1"/>
    <xf numFmtId="165" fontId="0" fillId="58" borderId="69" xfId="45" applyNumberFormat="1" applyFont="1" applyFill="1" applyBorder="1"/>
    <xf numFmtId="165" fontId="0" fillId="56" borderId="12" xfId="45" applyNumberFormat="1" applyFont="1" applyFill="1" applyBorder="1" applyAlignment="1">
      <alignment horizontal="center"/>
    </xf>
    <xf numFmtId="165" fontId="3" fillId="56" borderId="68" xfId="45" applyNumberFormat="1" applyFont="1" applyFill="1" applyBorder="1" applyAlignment="1">
      <alignment horizontal="center"/>
    </xf>
    <xf numFmtId="165" fontId="0" fillId="56" borderId="13" xfId="45" applyNumberFormat="1" applyFont="1" applyFill="1" applyBorder="1" applyAlignment="1">
      <alignment horizontal="center"/>
    </xf>
    <xf numFmtId="165" fontId="3" fillId="56" borderId="70" xfId="45" applyNumberFormat="1" applyFont="1" applyFill="1" applyBorder="1" applyAlignment="1">
      <alignment horizontal="center"/>
    </xf>
    <xf numFmtId="165" fontId="35" fillId="56" borderId="12" xfId="45" applyNumberFormat="1" applyFont="1" applyFill="1" applyBorder="1" applyAlignment="1">
      <alignment horizontal="center"/>
    </xf>
    <xf numFmtId="165" fontId="0" fillId="56" borderId="70" xfId="45" applyNumberFormat="1" applyFont="1" applyFill="1" applyBorder="1" applyAlignment="1">
      <alignment horizontal="center"/>
    </xf>
    <xf numFmtId="165" fontId="0" fillId="56" borderId="15" xfId="45" applyNumberFormat="1" applyFont="1" applyFill="1" applyBorder="1" applyAlignment="1">
      <alignment horizontal="center"/>
    </xf>
    <xf numFmtId="165" fontId="0" fillId="56" borderId="16" xfId="45" applyNumberFormat="1" applyFont="1" applyFill="1" applyBorder="1" applyAlignment="1">
      <alignment horizontal="center"/>
    </xf>
    <xf numFmtId="165" fontId="0" fillId="56" borderId="69" xfId="45" applyNumberFormat="1" applyFont="1" applyFill="1" applyBorder="1" applyAlignment="1">
      <alignment horizontal="center"/>
    </xf>
    <xf numFmtId="0" fontId="0" fillId="0" borderId="141" xfId="0" applyBorder="1"/>
    <xf numFmtId="0" fontId="3" fillId="59" borderId="35" xfId="0" applyFont="1" applyFill="1" applyBorder="1"/>
    <xf numFmtId="0" fontId="0" fillId="0" borderId="6" xfId="0" applyBorder="1"/>
    <xf numFmtId="0" fontId="0" fillId="0" borderId="142" xfId="0" applyBorder="1"/>
    <xf numFmtId="0" fontId="0" fillId="0" borderId="120" xfId="0" applyFont="1" applyBorder="1"/>
    <xf numFmtId="0" fontId="0" fillId="0" borderId="6" xfId="0" applyFont="1" applyBorder="1"/>
    <xf numFmtId="0" fontId="0" fillId="0" borderId="142" xfId="0" applyFont="1" applyBorder="1"/>
    <xf numFmtId="0" fontId="0" fillId="0" borderId="141" xfId="0" applyFont="1" applyBorder="1"/>
    <xf numFmtId="0" fontId="0" fillId="0" borderId="82" xfId="0" applyFont="1" applyBorder="1"/>
    <xf numFmtId="0" fontId="3" fillId="45" borderId="135" xfId="0" applyFont="1" applyFill="1" applyBorder="1"/>
    <xf numFmtId="0" fontId="3" fillId="45" borderId="86" xfId="0" applyFont="1" applyFill="1" applyBorder="1"/>
    <xf numFmtId="0" fontId="3" fillId="45" borderId="141" xfId="0" applyFont="1" applyFill="1" applyBorder="1"/>
    <xf numFmtId="0" fontId="3" fillId="45" borderId="35" xfId="0" applyFont="1" applyFill="1" applyBorder="1" applyAlignment="1">
      <alignment horizontal="center" vertical="center"/>
    </xf>
    <xf numFmtId="0" fontId="3" fillId="45" borderId="86" xfId="0" applyFont="1" applyFill="1" applyBorder="1" applyAlignment="1">
      <alignment horizontal="center" vertical="center"/>
    </xf>
    <xf numFmtId="0" fontId="3" fillId="45" borderId="24" xfId="0" applyFont="1" applyFill="1" applyBorder="1" applyAlignment="1">
      <alignment horizontal="center" vertical="center"/>
    </xf>
    <xf numFmtId="0" fontId="3" fillId="45" borderId="77" xfId="0" applyFont="1" applyFill="1" applyBorder="1" applyAlignment="1">
      <alignment horizontal="center" vertical="center"/>
    </xf>
    <xf numFmtId="0" fontId="3" fillId="45" borderId="78" xfId="0" applyFont="1" applyFill="1" applyBorder="1" applyAlignment="1">
      <alignment horizontal="center" vertical="center"/>
    </xf>
    <xf numFmtId="0" fontId="3" fillId="45" borderId="79" xfId="0" applyFont="1" applyFill="1" applyBorder="1" applyAlignment="1">
      <alignment horizontal="center" vertical="center"/>
    </xf>
    <xf numFmtId="0" fontId="3" fillId="58" borderId="18" xfId="0" applyNumberFormat="1" applyFont="1" applyFill="1" applyBorder="1" applyAlignment="1">
      <alignment horizontal="center" vertical="center"/>
    </xf>
    <xf numFmtId="0" fontId="3" fillId="58" borderId="19" xfId="0" applyNumberFormat="1" applyFont="1" applyFill="1" applyBorder="1" applyAlignment="1">
      <alignment horizontal="center" vertical="center"/>
    </xf>
    <xf numFmtId="0" fontId="3" fillId="58" borderId="24" xfId="0" applyNumberFormat="1" applyFont="1" applyFill="1" applyBorder="1" applyAlignment="1">
      <alignment horizontal="center" vertical="center"/>
    </xf>
    <xf numFmtId="0" fontId="0" fillId="0" borderId="9" xfId="0" applyBorder="1"/>
    <xf numFmtId="0" fontId="0" fillId="45" borderId="87" xfId="0" applyFill="1" applyBorder="1"/>
    <xf numFmtId="0" fontId="0" fillId="0" borderId="31" xfId="0" applyBorder="1"/>
    <xf numFmtId="0" fontId="0" fillId="0" borderId="32" xfId="0" applyBorder="1"/>
    <xf numFmtId="0" fontId="0" fillId="0" borderId="34" xfId="0" applyBorder="1"/>
    <xf numFmtId="0" fontId="0" fillId="0" borderId="122" xfId="0" applyBorder="1"/>
    <xf numFmtId="0" fontId="0" fillId="45" borderId="119" xfId="0" applyFill="1" applyBorder="1"/>
    <xf numFmtId="0" fontId="0" fillId="0" borderId="115" xfId="0" applyBorder="1"/>
    <xf numFmtId="0" fontId="0" fillId="0" borderId="116" xfId="0" applyBorder="1"/>
    <xf numFmtId="0" fontId="0" fillId="0" borderId="117" xfId="0" applyBorder="1"/>
    <xf numFmtId="0" fontId="0" fillId="0" borderId="144" xfId="0" applyBorder="1"/>
    <xf numFmtId="0" fontId="0" fillId="0" borderId="128" xfId="0" applyBorder="1"/>
    <xf numFmtId="0" fontId="3" fillId="59" borderId="87" xfId="0" applyFont="1" applyFill="1" applyBorder="1"/>
    <xf numFmtId="0" fontId="3" fillId="45" borderId="119" xfId="0" applyFont="1" applyFill="1" applyBorder="1"/>
    <xf numFmtId="165" fontId="3" fillId="45" borderId="75" xfId="45" applyNumberFormat="1" applyFont="1" applyFill="1" applyBorder="1"/>
    <xf numFmtId="165" fontId="3" fillId="45" borderId="87" xfId="45" applyNumberFormat="1" applyFont="1" applyFill="1" applyBorder="1"/>
    <xf numFmtId="165" fontId="0" fillId="0" borderId="36" xfId="45" applyNumberFormat="1" applyFont="1" applyBorder="1"/>
    <xf numFmtId="165" fontId="0" fillId="0" borderId="31" xfId="45" applyNumberFormat="1" applyFont="1" applyBorder="1"/>
    <xf numFmtId="165" fontId="0" fillId="0" borderId="37" xfId="45" applyNumberFormat="1" applyFont="1" applyBorder="1"/>
    <xf numFmtId="165" fontId="0" fillId="0" borderId="32" xfId="45" applyNumberFormat="1" applyFont="1" applyBorder="1"/>
    <xf numFmtId="165" fontId="0" fillId="0" borderId="104" xfId="45" applyNumberFormat="1" applyFont="1" applyBorder="1"/>
    <xf numFmtId="165" fontId="0" fillId="0" borderId="34" xfId="45" applyNumberFormat="1" applyFont="1" applyBorder="1"/>
    <xf numFmtId="165" fontId="0" fillId="45" borderId="18" xfId="45" applyNumberFormat="1" applyFont="1" applyFill="1" applyBorder="1"/>
    <xf numFmtId="165" fontId="0" fillId="45" borderId="75" xfId="45" applyNumberFormat="1" applyFont="1" applyFill="1" applyBorder="1"/>
    <xf numFmtId="165" fontId="0" fillId="45" borderId="87" xfId="45" applyNumberFormat="1" applyFont="1" applyFill="1" applyBorder="1"/>
    <xf numFmtId="165" fontId="0" fillId="0" borderId="6" xfId="45" applyNumberFormat="1" applyFont="1" applyBorder="1"/>
    <xf numFmtId="165" fontId="0" fillId="0" borderId="71" xfId="45" applyNumberFormat="1" applyFont="1" applyBorder="1"/>
    <xf numFmtId="165" fontId="0" fillId="0" borderId="30" xfId="45" applyNumberFormat="1" applyFont="1" applyBorder="1"/>
    <xf numFmtId="165" fontId="0" fillId="0" borderId="143" xfId="45" applyNumberFormat="1" applyFont="1" applyBorder="1"/>
    <xf numFmtId="165" fontId="0" fillId="0" borderId="122" xfId="45" applyNumberFormat="1" applyFont="1" applyBorder="1"/>
    <xf numFmtId="165" fontId="0" fillId="58" borderId="12" xfId="45" applyNumberFormat="1" applyFont="1" applyFill="1" applyBorder="1" applyAlignment="1">
      <alignment horizontal="center"/>
    </xf>
    <xf numFmtId="165" fontId="0" fillId="58" borderId="13" xfId="45" applyNumberFormat="1" applyFont="1" applyFill="1" applyBorder="1" applyAlignment="1">
      <alignment horizontal="center"/>
    </xf>
    <xf numFmtId="165" fontId="3" fillId="58" borderId="70" xfId="45" applyNumberFormat="1" applyFont="1" applyFill="1" applyBorder="1" applyAlignment="1">
      <alignment horizontal="center"/>
    </xf>
    <xf numFmtId="165" fontId="3" fillId="58" borderId="70" xfId="45" applyNumberFormat="1" applyFont="1" applyFill="1" applyBorder="1"/>
    <xf numFmtId="165" fontId="0" fillId="53" borderId="12" xfId="45" applyNumberFormat="1" applyFont="1" applyFill="1" applyBorder="1" applyAlignment="1">
      <alignment horizontal="center"/>
    </xf>
    <xf numFmtId="165" fontId="0" fillId="58" borderId="9" xfId="45" applyNumberFormat="1" applyFont="1" applyFill="1" applyBorder="1" applyAlignment="1">
      <alignment horizontal="center" vertical="center"/>
    </xf>
    <xf numFmtId="165" fontId="3" fillId="58" borderId="68" xfId="45" applyNumberFormat="1" applyFont="1" applyFill="1" applyBorder="1" applyAlignment="1">
      <alignment horizontal="center" vertical="center"/>
    </xf>
    <xf numFmtId="165" fontId="0" fillId="58" borderId="15" xfId="45" applyNumberFormat="1" applyFont="1" applyFill="1" applyBorder="1" applyAlignment="1">
      <alignment horizontal="center" vertical="center"/>
    </xf>
    <xf numFmtId="165" fontId="0" fillId="58" borderId="16" xfId="45" applyNumberFormat="1" applyFont="1" applyFill="1" applyBorder="1" applyAlignment="1">
      <alignment horizontal="center" vertical="center"/>
    </xf>
    <xf numFmtId="165" fontId="3" fillId="58" borderId="69" xfId="45" applyNumberFormat="1" applyFont="1" applyFill="1" applyBorder="1" applyAlignment="1">
      <alignment horizontal="center" vertical="center"/>
    </xf>
    <xf numFmtId="165" fontId="0" fillId="53" borderId="8" xfId="45" applyNumberFormat="1" applyFont="1" applyFill="1" applyBorder="1" applyAlignment="1">
      <alignment horizontal="center"/>
    </xf>
    <xf numFmtId="165" fontId="0" fillId="53" borderId="9" xfId="45" applyNumberFormat="1" applyFont="1" applyFill="1" applyBorder="1" applyAlignment="1">
      <alignment horizontal="center"/>
    </xf>
    <xf numFmtId="165" fontId="0" fillId="53" borderId="11" xfId="45" applyNumberFormat="1" applyFont="1" applyFill="1" applyBorder="1" applyAlignment="1">
      <alignment horizontal="center"/>
    </xf>
    <xf numFmtId="165" fontId="0" fillId="58" borderId="11" xfId="45" applyNumberFormat="1" applyFont="1" applyFill="1" applyBorder="1" applyAlignment="1">
      <alignment horizontal="left"/>
    </xf>
    <xf numFmtId="165" fontId="0" fillId="58" borderId="12" xfId="45" applyNumberFormat="1" applyFont="1" applyFill="1" applyBorder="1" applyAlignment="1">
      <alignment horizontal="left"/>
    </xf>
    <xf numFmtId="165" fontId="0" fillId="58" borderId="14" xfId="45" applyNumberFormat="1" applyFont="1" applyFill="1" applyBorder="1" applyAlignment="1">
      <alignment horizontal="left"/>
    </xf>
    <xf numFmtId="165" fontId="0" fillId="58" borderId="15" xfId="45" applyNumberFormat="1" applyFont="1" applyFill="1" applyBorder="1" applyAlignment="1">
      <alignment horizontal="left"/>
    </xf>
    <xf numFmtId="9" fontId="3" fillId="45" borderId="87" xfId="1" applyFont="1" applyFill="1" applyBorder="1" applyAlignment="1">
      <alignment horizontal="center" vertical="center" wrapText="1"/>
    </xf>
    <xf numFmtId="9" fontId="3" fillId="0" borderId="0" xfId="1" applyFont="1" applyAlignment="1">
      <alignment horizontal="center" vertical="center" wrapText="1"/>
    </xf>
    <xf numFmtId="0" fontId="42" fillId="4" borderId="17" xfId="0" applyFont="1" applyFill="1" applyBorder="1"/>
    <xf numFmtId="0" fontId="42" fillId="4" borderId="18" xfId="0" applyFont="1" applyFill="1" applyBorder="1"/>
    <xf numFmtId="0" fontId="42" fillId="4" borderId="87" xfId="0" applyFont="1" applyFill="1" applyBorder="1"/>
    <xf numFmtId="0" fontId="42" fillId="4" borderId="75" xfId="0" applyFont="1" applyFill="1" applyBorder="1"/>
    <xf numFmtId="0" fontId="0" fillId="0" borderId="143" xfId="0" applyBorder="1"/>
    <xf numFmtId="0" fontId="0" fillId="0" borderId="37" xfId="0" applyBorder="1"/>
    <xf numFmtId="0" fontId="0" fillId="0" borderId="104" xfId="0" applyBorder="1"/>
    <xf numFmtId="0" fontId="3" fillId="0" borderId="77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8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4" borderId="87" xfId="0" applyFont="1" applyFill="1" applyBorder="1"/>
    <xf numFmtId="0" fontId="3" fillId="4" borderId="17" xfId="0" applyFont="1" applyFill="1" applyBorder="1"/>
    <xf numFmtId="0" fontId="3" fillId="4" borderId="18" xfId="0" applyFont="1" applyFill="1" applyBorder="1"/>
    <xf numFmtId="0" fontId="3" fillId="4" borderId="75" xfId="0" applyFont="1" applyFill="1" applyBorder="1"/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75" xfId="0" applyFont="1" applyFill="1" applyBorder="1" applyAlignment="1">
      <alignment horizontal="center" vertical="center"/>
    </xf>
    <xf numFmtId="0" fontId="3" fillId="4" borderId="87" xfId="0" applyFont="1" applyFill="1" applyBorder="1" applyAlignment="1">
      <alignment horizontal="center" vertical="center"/>
    </xf>
    <xf numFmtId="0" fontId="3" fillId="4" borderId="119" xfId="0" applyFont="1" applyFill="1" applyBorder="1"/>
    <xf numFmtId="0" fontId="3" fillId="4" borderId="29" xfId="0" applyFont="1" applyFill="1" applyBorder="1"/>
    <xf numFmtId="0" fontId="3" fillId="4" borderId="114" xfId="0" applyFont="1" applyFill="1" applyBorder="1"/>
    <xf numFmtId="0" fontId="3" fillId="4" borderId="78" xfId="0" applyFont="1" applyFill="1" applyBorder="1"/>
    <xf numFmtId="0" fontId="3" fillId="4" borderId="80" xfId="0" applyFont="1" applyFill="1" applyBorder="1"/>
    <xf numFmtId="0" fontId="0" fillId="0" borderId="121" xfId="0" applyBorder="1"/>
    <xf numFmtId="0" fontId="3" fillId="4" borderId="79" xfId="0" applyFont="1" applyFill="1" applyBorder="1"/>
    <xf numFmtId="0" fontId="3" fillId="4" borderId="19" xfId="0" applyFont="1" applyFill="1" applyBorder="1"/>
    <xf numFmtId="0" fontId="0" fillId="0" borderId="93" xfId="0" applyBorder="1"/>
    <xf numFmtId="0" fontId="0" fillId="0" borderId="70" xfId="0" applyBorder="1"/>
    <xf numFmtId="0" fontId="0" fillId="0" borderId="101" xfId="0" applyBorder="1"/>
    <xf numFmtId="0" fontId="3" fillId="4" borderId="24" xfId="0" applyFont="1" applyFill="1" applyBorder="1"/>
    <xf numFmtId="0" fontId="3" fillId="4" borderId="77" xfId="0" applyFont="1" applyFill="1" applyBorder="1" applyAlignment="1">
      <alignment horizontal="center" vertical="center"/>
    </xf>
    <xf numFmtId="0" fontId="3" fillId="4" borderId="78" xfId="0" applyFont="1" applyFill="1" applyBorder="1" applyAlignment="1">
      <alignment horizontal="center" vertical="center"/>
    </xf>
    <xf numFmtId="0" fontId="3" fillId="4" borderId="79" xfId="0" applyFont="1" applyFill="1" applyBorder="1" applyAlignment="1">
      <alignment horizontal="center" vertical="center"/>
    </xf>
    <xf numFmtId="0" fontId="3" fillId="4" borderId="81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45" fillId="7" borderId="1" xfId="0" applyFont="1" applyFill="1" applyBorder="1" applyAlignment="1" applyProtection="1">
      <alignment horizontal="center" vertical="center" wrapText="1"/>
    </xf>
    <xf numFmtId="0" fontId="50" fillId="0" borderId="1" xfId="0" applyFont="1" applyFill="1" applyBorder="1" applyAlignment="1" applyProtection="1">
      <alignment horizontal="center" vertical="center" wrapText="1"/>
    </xf>
    <xf numFmtId="3" fontId="3" fillId="52" borderId="87" xfId="0" applyNumberFormat="1" applyFont="1" applyFill="1" applyBorder="1" applyAlignment="1">
      <alignment horizontal="center"/>
    </xf>
    <xf numFmtId="3" fontId="3" fillId="53" borderId="87" xfId="0" applyNumberFormat="1" applyFont="1" applyFill="1" applyBorder="1" applyAlignment="1">
      <alignment horizontal="center"/>
    </xf>
    <xf numFmtId="0" fontId="62" fillId="0" borderId="0" xfId="0" applyFont="1" applyProtection="1"/>
    <xf numFmtId="0" fontId="51" fillId="47" borderId="1" xfId="0" applyFont="1" applyFill="1" applyBorder="1" applyAlignment="1" applyProtection="1">
      <alignment horizontal="center" vertical="center" wrapText="1"/>
    </xf>
    <xf numFmtId="0" fontId="63" fillId="47" borderId="1" xfId="0" applyFont="1" applyFill="1" applyBorder="1" applyAlignment="1" applyProtection="1">
      <alignment horizontal="center" vertical="center" wrapText="1"/>
    </xf>
    <xf numFmtId="164" fontId="45" fillId="0" borderId="1" xfId="44" applyNumberFormat="1" applyFont="1" applyFill="1" applyBorder="1" applyAlignment="1" applyProtection="1">
      <alignment horizontal="center" vertical="center"/>
    </xf>
    <xf numFmtId="164" fontId="48" fillId="0" borderId="1" xfId="44" applyNumberFormat="1" applyFont="1" applyFill="1" applyBorder="1" applyAlignment="1" applyProtection="1">
      <alignment horizontal="center" vertical="center"/>
    </xf>
    <xf numFmtId="164" fontId="57" fillId="2" borderId="1" xfId="44" applyNumberFormat="1" applyFont="1" applyFill="1" applyBorder="1" applyAlignment="1" applyProtection="1">
      <alignment horizontal="center" vertical="center"/>
    </xf>
    <xf numFmtId="0" fontId="45" fillId="0" borderId="0" xfId="0" applyFont="1" applyFill="1" applyBorder="1" applyAlignment="1" applyProtection="1">
      <alignment horizontal="center" vertical="center" wrapText="1"/>
    </xf>
    <xf numFmtId="9" fontId="8" fillId="0" borderId="0" xfId="44" applyFont="1" applyFill="1" applyBorder="1" applyAlignment="1" applyProtection="1">
      <alignment horizontal="center"/>
    </xf>
    <xf numFmtId="9" fontId="49" fillId="0" borderId="0" xfId="44" applyFont="1" applyFill="1" applyBorder="1" applyAlignment="1" applyProtection="1">
      <alignment horizontal="center" vertical="center"/>
    </xf>
    <xf numFmtId="0" fontId="51" fillId="0" borderId="0" xfId="0" applyFont="1" applyFill="1" applyBorder="1" applyAlignment="1" applyProtection="1">
      <alignment vertical="center" wrapText="1"/>
    </xf>
    <xf numFmtId="9" fontId="8" fillId="0" borderId="0" xfId="44" applyFont="1" applyFill="1" applyBorder="1" applyAlignment="1" applyProtection="1">
      <alignment horizontal="center" vertical="center"/>
    </xf>
    <xf numFmtId="0" fontId="47" fillId="0" borderId="0" xfId="0" applyFont="1" applyFill="1" applyBorder="1" applyAlignment="1" applyProtection="1">
      <alignment horizontal="center" vertical="center"/>
    </xf>
    <xf numFmtId="9" fontId="39" fillId="0" borderId="0" xfId="44" applyFont="1" applyFill="1" applyBorder="1" applyAlignment="1" applyProtection="1">
      <alignment horizontal="center" vertical="center"/>
    </xf>
    <xf numFmtId="3" fontId="48" fillId="0" borderId="0" xfId="44" applyNumberFormat="1" applyFont="1" applyFill="1" applyBorder="1" applyAlignment="1" applyProtection="1">
      <alignment horizontal="center"/>
    </xf>
    <xf numFmtId="0" fontId="46" fillId="0" borderId="0" xfId="0" applyFont="1" applyFill="1" applyBorder="1" applyAlignment="1" applyProtection="1">
      <alignment horizontal="center" vertical="center" wrapText="1"/>
    </xf>
    <xf numFmtId="3" fontId="8" fillId="0" borderId="0" xfId="0" applyNumberFormat="1" applyFont="1" applyFill="1" applyBorder="1" applyAlignment="1" applyProtection="1">
      <alignment horizont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/>
    </xf>
    <xf numFmtId="164" fontId="0" fillId="0" borderId="0" xfId="1" applyNumberFormat="1" applyFont="1"/>
    <xf numFmtId="164" fontId="0" fillId="0" borderId="87" xfId="1" applyNumberFormat="1" applyFont="1" applyBorder="1" applyAlignment="1">
      <alignment horizontal="center"/>
    </xf>
    <xf numFmtId="0" fontId="65" fillId="4" borderId="56" xfId="0" applyFont="1" applyFill="1" applyBorder="1" applyAlignment="1">
      <alignment horizontal="center" vertical="center" wrapText="1"/>
    </xf>
    <xf numFmtId="0" fontId="65" fillId="4" borderId="57" xfId="0" applyFont="1" applyFill="1" applyBorder="1" applyAlignment="1">
      <alignment horizontal="center" vertical="center" wrapText="1"/>
    </xf>
    <xf numFmtId="0" fontId="10" fillId="4" borderId="51" xfId="0" applyFont="1" applyFill="1" applyBorder="1" applyAlignment="1">
      <alignment horizontal="center" vertical="center" wrapText="1"/>
    </xf>
    <xf numFmtId="3" fontId="3" fillId="4" borderId="61" xfId="0" applyNumberFormat="1" applyFont="1" applyFill="1" applyBorder="1" applyAlignment="1">
      <alignment horizontal="center" vertical="center"/>
    </xf>
    <xf numFmtId="3" fontId="3" fillId="4" borderId="5" xfId="0" applyNumberFormat="1" applyFont="1" applyFill="1" applyBorder="1" applyAlignment="1">
      <alignment horizontal="center" vertical="center"/>
    </xf>
    <xf numFmtId="3" fontId="5" fillId="4" borderId="5" xfId="0" applyNumberFormat="1" applyFont="1" applyFill="1" applyBorder="1" applyAlignment="1">
      <alignment horizontal="center" vertical="center"/>
    </xf>
    <xf numFmtId="3" fontId="5" fillId="4" borderId="62" xfId="0" applyNumberFormat="1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wrapText="1"/>
    </xf>
    <xf numFmtId="3" fontId="9" fillId="4" borderId="28" xfId="0" applyNumberFormat="1" applyFont="1" applyFill="1" applyBorder="1" applyAlignment="1">
      <alignment horizontal="center" vertical="center"/>
    </xf>
    <xf numFmtId="3" fontId="9" fillId="4" borderId="1" xfId="0" applyNumberFormat="1" applyFont="1" applyFill="1" applyBorder="1" applyAlignment="1">
      <alignment horizontal="center" vertical="center"/>
    </xf>
    <xf numFmtId="3" fontId="8" fillId="4" borderId="1" xfId="0" applyNumberFormat="1" applyFont="1" applyFill="1" applyBorder="1" applyAlignment="1">
      <alignment horizontal="center" vertical="center"/>
    </xf>
    <xf numFmtId="3" fontId="8" fillId="4" borderId="27" xfId="0" applyNumberFormat="1" applyFont="1" applyFill="1" applyBorder="1" applyAlignment="1">
      <alignment horizontal="center" vertical="center"/>
    </xf>
    <xf numFmtId="3" fontId="3" fillId="52" borderId="61" xfId="0" applyNumberFormat="1" applyFont="1" applyFill="1" applyBorder="1" applyAlignment="1">
      <alignment horizontal="center" vertical="center"/>
    </xf>
    <xf numFmtId="3" fontId="3" fillId="52" borderId="5" xfId="0" applyNumberFormat="1" applyFont="1" applyFill="1" applyBorder="1" applyAlignment="1">
      <alignment horizontal="center" vertical="center"/>
    </xf>
    <xf numFmtId="3" fontId="3" fillId="52" borderId="51" xfId="0" applyNumberFormat="1" applyFont="1" applyFill="1" applyBorder="1" applyAlignment="1">
      <alignment horizontal="center" vertical="center"/>
    </xf>
    <xf numFmtId="3" fontId="3" fillId="52" borderId="66" xfId="0" applyNumberFormat="1" applyFont="1" applyFill="1" applyBorder="1" applyAlignment="1">
      <alignment horizontal="center" vertical="center"/>
    </xf>
    <xf numFmtId="3" fontId="9" fillId="52" borderId="28" xfId="0" applyNumberFormat="1" applyFont="1" applyFill="1" applyBorder="1" applyAlignment="1">
      <alignment horizontal="center" vertical="center"/>
    </xf>
    <xf numFmtId="3" fontId="9" fillId="52" borderId="1" xfId="0" applyNumberFormat="1" applyFont="1" applyFill="1" applyBorder="1" applyAlignment="1">
      <alignment horizontal="center" vertical="center"/>
    </xf>
    <xf numFmtId="3" fontId="9" fillId="52" borderId="4" xfId="0" applyNumberFormat="1" applyFont="1" applyFill="1" applyBorder="1" applyAlignment="1">
      <alignment horizontal="center" vertical="center"/>
    </xf>
    <xf numFmtId="3" fontId="9" fillId="52" borderId="67" xfId="0" applyNumberFormat="1" applyFont="1" applyFill="1" applyBorder="1" applyAlignment="1">
      <alignment horizontal="center" vertical="center"/>
    </xf>
    <xf numFmtId="0" fontId="65" fillId="52" borderId="56" xfId="0" applyFont="1" applyFill="1" applyBorder="1" applyAlignment="1">
      <alignment horizontal="center" vertical="center" wrapText="1"/>
    </xf>
    <xf numFmtId="0" fontId="65" fillId="52" borderId="57" xfId="0" applyFont="1" applyFill="1" applyBorder="1" applyAlignment="1">
      <alignment horizontal="center" vertical="center" wrapText="1"/>
    </xf>
    <xf numFmtId="0" fontId="65" fillId="52" borderId="63" xfId="0" applyFont="1" applyFill="1" applyBorder="1" applyAlignment="1">
      <alignment horizontal="center" vertical="center" wrapText="1"/>
    </xf>
    <xf numFmtId="0" fontId="65" fillId="52" borderId="7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top" wrapText="1"/>
    </xf>
    <xf numFmtId="0" fontId="3" fillId="53" borderId="12" xfId="0" applyFont="1" applyFill="1" applyBorder="1" applyAlignment="1">
      <alignment horizontal="left" vertical="top" wrapText="1"/>
    </xf>
    <xf numFmtId="0" fontId="3" fillId="9" borderId="12" xfId="0" applyFont="1" applyFill="1" applyBorder="1" applyAlignment="1">
      <alignment horizontal="left" vertical="top" wrapText="1"/>
    </xf>
    <xf numFmtId="0" fontId="3" fillId="54" borderId="12" xfId="0" applyFont="1" applyFill="1" applyBorder="1" applyAlignment="1">
      <alignment horizontal="left" vertical="top" wrapText="1"/>
    </xf>
    <xf numFmtId="165" fontId="0" fillId="60" borderId="10" xfId="45" applyNumberFormat="1" applyFont="1" applyFill="1" applyBorder="1" applyAlignment="1">
      <alignment horizontal="center" vertical="center"/>
    </xf>
    <xf numFmtId="165" fontId="0" fillId="60" borderId="13" xfId="45" applyNumberFormat="1" applyFont="1" applyFill="1" applyBorder="1" applyAlignment="1">
      <alignment horizontal="center" vertical="center"/>
    </xf>
    <xf numFmtId="10" fontId="66" fillId="0" borderId="0" xfId="1" applyNumberFormat="1" applyFont="1"/>
    <xf numFmtId="10" fontId="71" fillId="0" borderId="0" xfId="1" applyNumberFormat="1" applyFont="1"/>
    <xf numFmtId="164" fontId="72" fillId="0" borderId="0" xfId="1" applyNumberFormat="1" applyFont="1"/>
    <xf numFmtId="165" fontId="56" fillId="0" borderId="0" xfId="0" applyNumberFormat="1" applyFont="1"/>
    <xf numFmtId="9" fontId="56" fillId="0" borderId="0" xfId="1" applyFont="1" applyAlignment="1">
      <alignment horizontal="left"/>
    </xf>
    <xf numFmtId="164" fontId="56" fillId="0" borderId="0" xfId="1" applyNumberFormat="1" applyFont="1" applyAlignment="1">
      <alignment horizontal="left"/>
    </xf>
    <xf numFmtId="10" fontId="56" fillId="0" borderId="0" xfId="1" applyNumberFormat="1" applyFont="1" applyAlignment="1">
      <alignment horizontal="left"/>
    </xf>
    <xf numFmtId="0" fontId="73" fillId="0" borderId="7" xfId="0" applyFont="1" applyFill="1" applyBorder="1"/>
    <xf numFmtId="0" fontId="0" fillId="0" borderId="0" xfId="0" applyFill="1" applyBorder="1" applyAlignment="1">
      <alignment horizontal="left"/>
    </xf>
    <xf numFmtId="0" fontId="74" fillId="0" borderId="0" xfId="0" applyFont="1" applyFill="1" applyBorder="1"/>
    <xf numFmtId="0" fontId="74" fillId="0" borderId="0" xfId="0" applyFont="1" applyFill="1" applyBorder="1" applyAlignment="1">
      <alignment horizontal="left"/>
    </xf>
    <xf numFmtId="0" fontId="73" fillId="0" borderId="7" xfId="0" applyFont="1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6" fillId="0" borderId="149" xfId="0" applyFont="1" applyFill="1" applyBorder="1" applyAlignment="1">
      <alignment horizontal="center" vertical="center" wrapText="1"/>
    </xf>
    <xf numFmtId="0" fontId="10" fillId="8" borderId="149" xfId="0" applyFont="1" applyFill="1" applyBorder="1" applyAlignment="1">
      <alignment horizontal="center" vertical="center" wrapText="1"/>
    </xf>
    <xf numFmtId="3" fontId="0" fillId="4" borderId="1" xfId="0" applyNumberFormat="1" applyFill="1" applyBorder="1" applyAlignment="1">
      <alignment horizontal="center" vertical="center"/>
    </xf>
    <xf numFmtId="0" fontId="0" fillId="4" borderId="1" xfId="0" applyNumberFormat="1" applyFill="1" applyBorder="1" applyAlignment="1">
      <alignment horizontal="center" vertical="center"/>
    </xf>
    <xf numFmtId="3" fontId="3" fillId="51" borderId="1" xfId="0" applyNumberFormat="1" applyFont="1" applyFill="1" applyBorder="1" applyAlignment="1">
      <alignment horizontal="center" vertical="center"/>
    </xf>
    <xf numFmtId="3" fontId="3" fillId="4" borderId="1" xfId="0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3" fontId="9" fillId="3" borderId="1" xfId="0" applyNumberFormat="1" applyFont="1" applyFill="1" applyBorder="1" applyAlignment="1">
      <alignment horizontal="center" vertical="center"/>
    </xf>
    <xf numFmtId="0" fontId="75" fillId="4" borderId="17" xfId="0" applyFont="1" applyFill="1" applyBorder="1" applyAlignment="1">
      <alignment horizontal="center" vertical="center" wrapText="1"/>
    </xf>
    <xf numFmtId="0" fontId="75" fillId="4" borderId="18" xfId="0" applyFont="1" applyFill="1" applyBorder="1" applyAlignment="1">
      <alignment horizontal="center" vertical="center" wrapText="1"/>
    </xf>
    <xf numFmtId="0" fontId="75" fillId="4" borderId="78" xfId="0" applyFont="1" applyFill="1" applyBorder="1" applyAlignment="1">
      <alignment horizontal="center" vertical="center" wrapText="1"/>
    </xf>
    <xf numFmtId="0" fontId="75" fillId="4" borderId="80" xfId="0" applyFont="1" applyFill="1" applyBorder="1" applyAlignment="1">
      <alignment horizontal="center" vertical="center" wrapText="1"/>
    </xf>
    <xf numFmtId="0" fontId="75" fillId="52" borderId="17" xfId="0" applyFont="1" applyFill="1" applyBorder="1" applyAlignment="1">
      <alignment horizontal="center" vertical="center" wrapText="1"/>
    </xf>
    <xf numFmtId="0" fontId="75" fillId="52" borderId="18" xfId="0" applyFont="1" applyFill="1" applyBorder="1" applyAlignment="1">
      <alignment horizontal="center" vertical="center" wrapText="1"/>
    </xf>
    <xf numFmtId="0" fontId="75" fillId="52" borderId="18" xfId="0" applyFont="1" applyFill="1" applyBorder="1" applyAlignment="1">
      <alignment horizontal="center" vertical="center"/>
    </xf>
    <xf numFmtId="0" fontId="75" fillId="52" borderId="79" xfId="0" applyFont="1" applyFill="1" applyBorder="1" applyAlignment="1">
      <alignment horizontal="center" vertical="center"/>
    </xf>
    <xf numFmtId="0" fontId="53" fillId="0" borderId="0" xfId="0" applyFont="1" applyBorder="1"/>
    <xf numFmtId="0" fontId="53" fillId="0" borderId="0" xfId="0" applyFont="1" applyFill="1" applyBorder="1"/>
    <xf numFmtId="0" fontId="53" fillId="0" borderId="0" xfId="0" applyFont="1" applyBorder="1" applyAlignment="1">
      <alignment horizontal="center"/>
    </xf>
    <xf numFmtId="0" fontId="52" fillId="0" borderId="0" xfId="0" applyFont="1" applyFill="1" applyBorder="1"/>
    <xf numFmtId="0" fontId="76" fillId="0" borderId="0" xfId="0" applyFont="1" applyFill="1" applyBorder="1"/>
    <xf numFmtId="0" fontId="13" fillId="4" borderId="8" xfId="0" applyFont="1" applyFill="1" applyBorder="1" applyAlignment="1">
      <alignment horizontal="left" vertical="center" wrapText="1"/>
    </xf>
    <xf numFmtId="0" fontId="13" fillId="4" borderId="14" xfId="0" applyFont="1" applyFill="1" applyBorder="1" applyAlignment="1">
      <alignment horizontal="left" vertical="center" wrapText="1"/>
    </xf>
    <xf numFmtId="0" fontId="53" fillId="4" borderId="11" xfId="0" applyNumberFormat="1" applyFont="1" applyFill="1" applyBorder="1" applyAlignment="1">
      <alignment horizontal="center"/>
    </xf>
    <xf numFmtId="0" fontId="53" fillId="4" borderId="12" xfId="0" applyNumberFormat="1" applyFont="1" applyFill="1" applyBorder="1" applyAlignment="1">
      <alignment horizontal="center"/>
    </xf>
    <xf numFmtId="0" fontId="53" fillId="4" borderId="13" xfId="0" applyNumberFormat="1" applyFont="1" applyFill="1" applyBorder="1" applyAlignment="1">
      <alignment horizontal="center"/>
    </xf>
    <xf numFmtId="3" fontId="52" fillId="8" borderId="70" xfId="0" applyNumberFormat="1" applyFont="1" applyFill="1" applyBorder="1" applyAlignment="1">
      <alignment horizontal="center" vertical="center"/>
    </xf>
    <xf numFmtId="0" fontId="53" fillId="0" borderId="11" xfId="0" applyNumberFormat="1" applyFont="1" applyFill="1" applyBorder="1" applyAlignment="1">
      <alignment horizontal="center"/>
    </xf>
    <xf numFmtId="0" fontId="53" fillId="0" borderId="12" xfId="0" applyNumberFormat="1" applyFont="1" applyFill="1" applyBorder="1" applyAlignment="1">
      <alignment horizontal="center"/>
    </xf>
    <xf numFmtId="0" fontId="53" fillId="0" borderId="11" xfId="0" applyFont="1" applyBorder="1" applyAlignment="1">
      <alignment horizontal="center"/>
    </xf>
    <xf numFmtId="0" fontId="53" fillId="0" borderId="12" xfId="0" applyFont="1" applyBorder="1" applyAlignment="1">
      <alignment horizontal="center"/>
    </xf>
    <xf numFmtId="0" fontId="53" fillId="0" borderId="13" xfId="0" applyNumberFormat="1" applyFont="1" applyFill="1" applyBorder="1" applyAlignment="1">
      <alignment horizontal="center"/>
    </xf>
    <xf numFmtId="0" fontId="53" fillId="0" borderId="14" xfId="0" applyNumberFormat="1" applyFont="1" applyFill="1" applyBorder="1" applyAlignment="1">
      <alignment horizontal="center"/>
    </xf>
    <xf numFmtId="0" fontId="53" fillId="0" borderId="15" xfId="0" applyNumberFormat="1" applyFont="1" applyFill="1" applyBorder="1" applyAlignment="1">
      <alignment horizontal="center"/>
    </xf>
    <xf numFmtId="0" fontId="53" fillId="0" borderId="14" xfId="0" applyFont="1" applyBorder="1" applyAlignment="1">
      <alignment horizontal="center"/>
    </xf>
    <xf numFmtId="0" fontId="53" fillId="0" borderId="15" xfId="0" applyFont="1" applyBorder="1" applyAlignment="1">
      <alignment horizontal="center"/>
    </xf>
    <xf numFmtId="0" fontId="53" fillId="0" borderId="16" xfId="0" applyNumberFormat="1" applyFont="1" applyFill="1" applyBorder="1" applyAlignment="1">
      <alignment horizontal="center"/>
    </xf>
    <xf numFmtId="3" fontId="52" fillId="8" borderId="69" xfId="0" applyNumberFormat="1" applyFont="1" applyFill="1" applyBorder="1" applyAlignment="1">
      <alignment horizontal="center" vertical="center"/>
    </xf>
    <xf numFmtId="3" fontId="52" fillId="4" borderId="8" xfId="0" applyNumberFormat="1" applyFont="1" applyFill="1" applyBorder="1" applyAlignment="1">
      <alignment horizontal="center" vertical="center"/>
    </xf>
    <xf numFmtId="3" fontId="52" fillId="4" borderId="9" xfId="0" applyNumberFormat="1" applyFont="1" applyFill="1" applyBorder="1" applyAlignment="1">
      <alignment horizontal="center" vertical="center"/>
    </xf>
    <xf numFmtId="3" fontId="52" fillId="4" borderId="10" xfId="0" applyNumberFormat="1" applyFont="1" applyFill="1" applyBorder="1" applyAlignment="1">
      <alignment horizontal="center" vertical="center"/>
    </xf>
    <xf numFmtId="3" fontId="52" fillId="51" borderId="68" xfId="0" applyNumberFormat="1" applyFont="1" applyFill="1" applyBorder="1" applyAlignment="1">
      <alignment horizontal="center" vertical="center"/>
    </xf>
    <xf numFmtId="3" fontId="77" fillId="4" borderId="14" xfId="0" applyNumberFormat="1" applyFont="1" applyFill="1" applyBorder="1" applyAlignment="1">
      <alignment horizontal="center" vertical="center"/>
    </xf>
    <xf numFmtId="3" fontId="77" fillId="4" borderId="15" xfId="0" applyNumberFormat="1" applyFont="1" applyFill="1" applyBorder="1" applyAlignment="1">
      <alignment horizontal="center" vertical="center"/>
    </xf>
    <xf numFmtId="3" fontId="77" fillId="4" borderId="16" xfId="0" applyNumberFormat="1" applyFont="1" applyFill="1" applyBorder="1" applyAlignment="1">
      <alignment horizontal="center" vertical="center"/>
    </xf>
    <xf numFmtId="3" fontId="77" fillId="4" borderId="69" xfId="0" applyNumberFormat="1" applyFont="1" applyFill="1" applyBorder="1" applyAlignment="1">
      <alignment horizontal="center" vertical="center"/>
    </xf>
    <xf numFmtId="0" fontId="53" fillId="52" borderId="9" xfId="0" applyFont="1" applyFill="1" applyBorder="1" applyAlignment="1">
      <alignment horizontal="center"/>
    </xf>
    <xf numFmtId="0" fontId="53" fillId="52" borderId="36" xfId="0" applyFont="1" applyFill="1" applyBorder="1" applyAlignment="1">
      <alignment horizontal="center"/>
    </xf>
    <xf numFmtId="0" fontId="53" fillId="52" borderId="8" xfId="0" applyFont="1" applyFill="1" applyBorder="1" applyAlignment="1">
      <alignment horizontal="center"/>
    </xf>
    <xf numFmtId="0" fontId="53" fillId="52" borderId="31" xfId="0" applyFont="1" applyFill="1" applyBorder="1" applyAlignment="1">
      <alignment horizontal="center"/>
    </xf>
    <xf numFmtId="3" fontId="53" fillId="52" borderId="87" xfId="0" applyNumberFormat="1" applyFont="1" applyFill="1" applyBorder="1" applyAlignment="1">
      <alignment horizontal="center"/>
    </xf>
    <xf numFmtId="164" fontId="53" fillId="0" borderId="87" xfId="1" applyNumberFormat="1" applyFont="1" applyBorder="1" applyAlignment="1">
      <alignment horizontal="center"/>
    </xf>
    <xf numFmtId="0" fontId="53" fillId="52" borderId="15" xfId="0" applyFont="1" applyFill="1" applyBorder="1" applyAlignment="1">
      <alignment horizontal="center"/>
    </xf>
    <xf numFmtId="3" fontId="53" fillId="52" borderId="15" xfId="0" applyNumberFormat="1" applyFont="1" applyFill="1" applyBorder="1" applyAlignment="1">
      <alignment horizontal="center"/>
    </xf>
    <xf numFmtId="3" fontId="53" fillId="52" borderId="38" xfId="0" applyNumberFormat="1" applyFont="1" applyFill="1" applyBorder="1" applyAlignment="1">
      <alignment horizontal="center"/>
    </xf>
    <xf numFmtId="0" fontId="53" fillId="52" borderId="14" xfId="0" applyFont="1" applyFill="1" applyBorder="1" applyAlignment="1">
      <alignment horizontal="center"/>
    </xf>
    <xf numFmtId="3" fontId="53" fillId="52" borderId="33" xfId="0" applyNumberFormat="1" applyFont="1" applyFill="1" applyBorder="1" applyAlignment="1">
      <alignment horizontal="center"/>
    </xf>
    <xf numFmtId="0" fontId="53" fillId="52" borderId="33" xfId="0" applyFont="1" applyFill="1" applyBorder="1" applyAlignment="1">
      <alignment horizontal="center"/>
    </xf>
    <xf numFmtId="9" fontId="53" fillId="0" borderId="0" xfId="1" applyFont="1" applyBorder="1"/>
    <xf numFmtId="0" fontId="53" fillId="4" borderId="9" xfId="0" applyFont="1" applyFill="1" applyBorder="1" applyAlignment="1">
      <alignment horizontal="center"/>
    </xf>
    <xf numFmtId="3" fontId="53" fillId="4" borderId="9" xfId="0" applyNumberFormat="1" applyFont="1" applyFill="1" applyBorder="1" applyAlignment="1">
      <alignment horizontal="center"/>
    </xf>
    <xf numFmtId="3" fontId="53" fillId="4" borderId="36" xfId="0" applyNumberFormat="1" applyFont="1" applyFill="1" applyBorder="1" applyAlignment="1">
      <alignment horizontal="center"/>
    </xf>
    <xf numFmtId="0" fontId="53" fillId="4" borderId="8" xfId="0" applyFont="1" applyFill="1" applyBorder="1" applyAlignment="1">
      <alignment horizontal="center"/>
    </xf>
    <xf numFmtId="3" fontId="53" fillId="4" borderId="31" xfId="0" applyNumberFormat="1" applyFont="1" applyFill="1" applyBorder="1" applyAlignment="1">
      <alignment horizontal="center"/>
    </xf>
    <xf numFmtId="0" fontId="53" fillId="4" borderId="31" xfId="0" applyFont="1" applyFill="1" applyBorder="1" applyAlignment="1">
      <alignment horizontal="center"/>
    </xf>
    <xf numFmtId="3" fontId="53" fillId="4" borderId="87" xfId="0" applyNumberFormat="1" applyFont="1" applyFill="1" applyBorder="1" applyAlignment="1">
      <alignment horizontal="center"/>
    </xf>
    <xf numFmtId="0" fontId="53" fillId="4" borderId="15" xfId="0" applyFont="1" applyFill="1" applyBorder="1" applyAlignment="1">
      <alignment horizontal="center"/>
    </xf>
    <xf numFmtId="3" fontId="53" fillId="4" borderId="15" xfId="0" applyNumberFormat="1" applyFont="1" applyFill="1" applyBorder="1" applyAlignment="1">
      <alignment horizontal="center"/>
    </xf>
    <xf numFmtId="3" fontId="53" fillId="4" borderId="38" xfId="0" applyNumberFormat="1" applyFont="1" applyFill="1" applyBorder="1" applyAlignment="1">
      <alignment horizontal="center"/>
    </xf>
    <xf numFmtId="0" fontId="53" fillId="4" borderId="14" xfId="0" applyFont="1" applyFill="1" applyBorder="1" applyAlignment="1">
      <alignment horizontal="center"/>
    </xf>
    <xf numFmtId="3" fontId="53" fillId="4" borderId="33" xfId="0" applyNumberFormat="1" applyFont="1" applyFill="1" applyBorder="1" applyAlignment="1">
      <alignment horizontal="center"/>
    </xf>
    <xf numFmtId="0" fontId="53" fillId="4" borderId="33" xfId="0" applyFont="1" applyFill="1" applyBorder="1" applyAlignment="1">
      <alignment horizontal="center"/>
    </xf>
    <xf numFmtId="3" fontId="53" fillId="52" borderId="9" xfId="0" applyNumberFormat="1" applyFont="1" applyFill="1" applyBorder="1" applyAlignment="1">
      <alignment horizontal="center"/>
    </xf>
    <xf numFmtId="3" fontId="53" fillId="52" borderId="36" xfId="0" applyNumberFormat="1" applyFont="1" applyFill="1" applyBorder="1" applyAlignment="1">
      <alignment horizontal="center"/>
    </xf>
    <xf numFmtId="3" fontId="53" fillId="52" borderId="31" xfId="0" applyNumberFormat="1" applyFont="1" applyFill="1" applyBorder="1" applyAlignment="1">
      <alignment horizontal="center"/>
    </xf>
    <xf numFmtId="0" fontId="68" fillId="0" borderId="0" xfId="0" applyFont="1"/>
    <xf numFmtId="0" fontId="3" fillId="2" borderId="8" xfId="0" applyFont="1" applyFill="1" applyBorder="1" applyAlignment="1">
      <alignment horizontal="left" vertical="top"/>
    </xf>
    <xf numFmtId="0" fontId="3" fillId="2" borderId="9" xfId="0" applyFont="1" applyFill="1" applyBorder="1" applyAlignment="1">
      <alignment horizontal="left" vertical="top" wrapText="1"/>
    </xf>
    <xf numFmtId="0" fontId="0" fillId="0" borderId="10" xfId="0" applyBorder="1" applyAlignment="1">
      <alignment wrapText="1"/>
    </xf>
    <xf numFmtId="0" fontId="3" fillId="2" borderId="11" xfId="0" applyFont="1" applyFill="1" applyBorder="1" applyAlignment="1">
      <alignment horizontal="left" vertical="top"/>
    </xf>
    <xf numFmtId="0" fontId="0" fillId="0" borderId="13" xfId="0" applyBorder="1" applyAlignment="1">
      <alignment wrapText="1"/>
    </xf>
    <xf numFmtId="0" fontId="3" fillId="2" borderId="14" xfId="0" applyFont="1" applyFill="1" applyBorder="1" applyAlignment="1">
      <alignment horizontal="left" vertical="top"/>
    </xf>
    <xf numFmtId="0" fontId="3" fillId="2" borderId="15" xfId="0" applyFont="1" applyFill="1" applyBorder="1" applyAlignment="1">
      <alignment horizontal="left" vertical="top" wrapText="1"/>
    </xf>
    <xf numFmtId="0" fontId="0" fillId="0" borderId="16" xfId="0" applyBorder="1"/>
    <xf numFmtId="0" fontId="3" fillId="53" borderId="8" xfId="0" applyFont="1" applyFill="1" applyBorder="1" applyAlignment="1">
      <alignment horizontal="left" vertical="top"/>
    </xf>
    <xf numFmtId="0" fontId="3" fillId="53" borderId="9" xfId="0" applyFont="1" applyFill="1" applyBorder="1" applyAlignment="1">
      <alignment horizontal="left" vertical="top" wrapText="1"/>
    </xf>
    <xf numFmtId="0" fontId="0" fillId="0" borderId="68" xfId="0" applyBorder="1" applyAlignment="1">
      <alignment wrapText="1"/>
    </xf>
    <xf numFmtId="0" fontId="3" fillId="53" borderId="11" xfId="0" applyFont="1" applyFill="1" applyBorder="1" applyAlignment="1">
      <alignment horizontal="left" vertical="top"/>
    </xf>
    <xf numFmtId="0" fontId="0" fillId="0" borderId="70" xfId="0" applyBorder="1" applyAlignment="1">
      <alignment vertical="top" wrapText="1"/>
    </xf>
    <xf numFmtId="0" fontId="3" fillId="9" borderId="11" xfId="0" applyFont="1" applyFill="1" applyBorder="1" applyAlignment="1">
      <alignment horizontal="left" vertical="top"/>
    </xf>
    <xf numFmtId="0" fontId="0" fillId="0" borderId="82" xfId="0" applyBorder="1" applyAlignment="1">
      <alignment wrapText="1"/>
    </xf>
    <xf numFmtId="0" fontId="0" fillId="0" borderId="93" xfId="0" applyBorder="1" applyAlignment="1">
      <alignment vertical="top" wrapText="1"/>
    </xf>
    <xf numFmtId="0" fontId="3" fillId="54" borderId="11" xfId="0" applyFont="1" applyFill="1" applyBorder="1" applyAlignment="1">
      <alignment horizontal="left" vertical="top"/>
    </xf>
    <xf numFmtId="0" fontId="0" fillId="0" borderId="152" xfId="0" applyBorder="1" applyAlignment="1">
      <alignment wrapText="1"/>
    </xf>
    <xf numFmtId="0" fontId="3" fillId="54" borderId="14" xfId="0" applyFont="1" applyFill="1" applyBorder="1" applyAlignment="1">
      <alignment horizontal="left" vertical="top"/>
    </xf>
    <xf numFmtId="0" fontId="3" fillId="54" borderId="15" xfId="0" applyFont="1" applyFill="1" applyBorder="1" applyAlignment="1">
      <alignment horizontal="left" vertical="top" wrapText="1"/>
    </xf>
    <xf numFmtId="0" fontId="0" fillId="0" borderId="69" xfId="0" applyBorder="1" applyAlignment="1">
      <alignment vertical="top" wrapText="1"/>
    </xf>
    <xf numFmtId="0" fontId="3" fillId="4" borderId="35" xfId="0" applyFont="1" applyFill="1" applyBorder="1"/>
    <xf numFmtId="0" fontId="0" fillId="0" borderId="89" xfId="0" applyBorder="1"/>
    <xf numFmtId="0" fontId="0" fillId="0" borderId="21" xfId="0" applyBorder="1"/>
    <xf numFmtId="0" fontId="0" fillId="0" borderId="97" xfId="0" applyBorder="1"/>
    <xf numFmtId="0" fontId="3" fillId="57" borderId="17" xfId="0" applyNumberFormat="1" applyFont="1" applyFill="1" applyBorder="1"/>
    <xf numFmtId="3" fontId="0" fillId="55" borderId="13" xfId="0" applyNumberFormat="1" applyFont="1" applyFill="1" applyBorder="1" applyAlignment="1">
      <alignment horizontal="center"/>
    </xf>
    <xf numFmtId="0" fontId="0" fillId="57" borderId="89" xfId="0" applyFont="1" applyFill="1" applyBorder="1" applyAlignment="1">
      <alignment horizontal="center"/>
    </xf>
    <xf numFmtId="0" fontId="3" fillId="57" borderId="17" xfId="0" applyNumberFormat="1" applyFont="1" applyFill="1" applyBorder="1" applyAlignment="1">
      <alignment horizontal="center"/>
    </xf>
    <xf numFmtId="0" fontId="3" fillId="57" borderId="18" xfId="0" applyNumberFormat="1" applyFont="1" applyFill="1" applyBorder="1" applyAlignment="1">
      <alignment horizontal="center"/>
    </xf>
    <xf numFmtId="0" fontId="3" fillId="57" borderId="19" xfId="0" applyNumberFormat="1" applyFont="1" applyFill="1" applyBorder="1" applyAlignment="1">
      <alignment horizontal="center"/>
    </xf>
    <xf numFmtId="0" fontId="0" fillId="57" borderId="132" xfId="0" applyFont="1" applyFill="1" applyBorder="1" applyAlignment="1">
      <alignment horizontal="center"/>
    </xf>
    <xf numFmtId="0" fontId="0" fillId="57" borderId="11" xfId="0" applyFont="1" applyFill="1" applyBorder="1" applyAlignment="1">
      <alignment horizontal="center"/>
    </xf>
    <xf numFmtId="0" fontId="0" fillId="57" borderId="14" xfId="0" applyFont="1" applyFill="1" applyBorder="1" applyAlignment="1">
      <alignment horizontal="center"/>
    </xf>
    <xf numFmtId="0" fontId="3" fillId="4" borderId="88" xfId="0" applyFont="1" applyFill="1" applyBorder="1"/>
    <xf numFmtId="0" fontId="3" fillId="4" borderId="77" xfId="0" applyFont="1" applyFill="1" applyBorder="1"/>
    <xf numFmtId="0" fontId="0" fillId="0" borderId="153" xfId="0" applyBorder="1"/>
    <xf numFmtId="0" fontId="0" fillId="0" borderId="0" xfId="0" applyBorder="1" applyAlignment="1">
      <alignment horizontal="center" vertical="center" wrapText="1"/>
    </xf>
    <xf numFmtId="0" fontId="3" fillId="53" borderId="52" xfId="0" applyFont="1" applyFill="1" applyBorder="1" applyAlignment="1">
      <alignment horizontal="center"/>
    </xf>
    <xf numFmtId="0" fontId="3" fillId="53" borderId="151" xfId="0" applyFont="1" applyFill="1" applyBorder="1" applyAlignment="1">
      <alignment horizontal="center"/>
    </xf>
    <xf numFmtId="0" fontId="3" fillId="2" borderId="150" xfId="0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10" fontId="22" fillId="2" borderId="39" xfId="0" applyNumberFormat="1" applyFont="1" applyFill="1" applyBorder="1" applyAlignment="1">
      <alignment horizontal="center" vertical="center" wrapText="1"/>
    </xf>
    <xf numFmtId="10" fontId="22" fillId="2" borderId="40" xfId="0" applyNumberFormat="1" applyFont="1" applyFill="1" applyBorder="1" applyAlignment="1">
      <alignment horizontal="center" vertical="center" wrapText="1"/>
    </xf>
    <xf numFmtId="10" fontId="22" fillId="2" borderId="41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14" fontId="23" fillId="0" borderId="0" xfId="0" applyNumberFormat="1" applyFont="1" applyAlignment="1">
      <alignment horizontal="center"/>
    </xf>
    <xf numFmtId="10" fontId="22" fillId="2" borderId="72" xfId="0" applyNumberFormat="1" applyFont="1" applyFill="1" applyBorder="1" applyAlignment="1">
      <alignment horizontal="center" vertical="center" wrapText="1"/>
    </xf>
    <xf numFmtId="10" fontId="22" fillId="2" borderId="73" xfId="0" applyNumberFormat="1" applyFont="1" applyFill="1" applyBorder="1" applyAlignment="1">
      <alignment horizontal="center" vertical="center" wrapText="1"/>
    </xf>
    <xf numFmtId="10" fontId="22" fillId="2" borderId="74" xfId="0" applyNumberFormat="1" applyFont="1" applyFill="1" applyBorder="1" applyAlignment="1">
      <alignment horizontal="center" vertical="center" wrapText="1"/>
    </xf>
    <xf numFmtId="0" fontId="23" fillId="0" borderId="124" xfId="0" applyFont="1" applyBorder="1" applyAlignment="1">
      <alignment horizontal="center"/>
    </xf>
    <xf numFmtId="0" fontId="23" fillId="0" borderId="125" xfId="0" applyFont="1" applyBorder="1" applyAlignment="1">
      <alignment horizontal="center"/>
    </xf>
    <xf numFmtId="0" fontId="23" fillId="0" borderId="72" xfId="0" applyFont="1" applyBorder="1" applyAlignment="1">
      <alignment horizontal="center"/>
    </xf>
    <xf numFmtId="14" fontId="23" fillId="0" borderId="126" xfId="0" applyNumberFormat="1" applyFont="1" applyBorder="1" applyAlignment="1">
      <alignment horizontal="center"/>
    </xf>
    <xf numFmtId="14" fontId="23" fillId="0" borderId="127" xfId="0" applyNumberFormat="1" applyFont="1" applyBorder="1" applyAlignment="1">
      <alignment horizontal="center"/>
    </xf>
    <xf numFmtId="14" fontId="23" fillId="0" borderId="74" xfId="0" applyNumberFormat="1" applyFont="1" applyBorder="1" applyAlignment="1">
      <alignment horizontal="center"/>
    </xf>
    <xf numFmtId="0" fontId="3" fillId="1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3" fillId="52" borderId="35" xfId="0" applyFont="1" applyFill="1" applyBorder="1" applyAlignment="1">
      <alignment horizontal="center"/>
    </xf>
    <xf numFmtId="0" fontId="3" fillId="52" borderId="23" xfId="0" applyFont="1" applyFill="1" applyBorder="1" applyAlignment="1">
      <alignment horizontal="center"/>
    </xf>
    <xf numFmtId="0" fontId="3" fillId="52" borderId="24" xfId="0" applyFont="1" applyFill="1" applyBorder="1" applyAlignment="1">
      <alignment horizontal="center"/>
    </xf>
    <xf numFmtId="0" fontId="3" fillId="0" borderId="29" xfId="0" applyFont="1" applyBorder="1" applyAlignment="1">
      <alignment horizontal="center" wrapText="1"/>
    </xf>
    <xf numFmtId="0" fontId="3" fillId="0" borderId="83" xfId="0" applyFont="1" applyBorder="1" applyAlignment="1">
      <alignment horizontal="center" wrapText="1"/>
    </xf>
    <xf numFmtId="16" fontId="3" fillId="53" borderId="29" xfId="0" applyNumberFormat="1" applyFont="1" applyFill="1" applyBorder="1" applyAlignment="1">
      <alignment horizontal="center" vertical="center"/>
    </xf>
    <xf numFmtId="16" fontId="3" fillId="53" borderId="83" xfId="0" applyNumberFormat="1" applyFont="1" applyFill="1" applyBorder="1" applyAlignment="1">
      <alignment horizontal="center" vertical="center"/>
    </xf>
    <xf numFmtId="0" fontId="3" fillId="0" borderId="145" xfId="0" applyFont="1" applyBorder="1" applyAlignment="1">
      <alignment horizontal="left"/>
    </xf>
    <xf numFmtId="16" fontId="3" fillId="4" borderId="29" xfId="0" applyNumberFormat="1" applyFont="1" applyFill="1" applyBorder="1" applyAlignment="1">
      <alignment horizontal="center" vertical="center"/>
    </xf>
    <xf numFmtId="16" fontId="3" fillId="4" borderId="83" xfId="0" applyNumberFormat="1" applyFont="1" applyFill="1" applyBorder="1" applyAlignment="1">
      <alignment horizontal="center" vertical="center"/>
    </xf>
    <xf numFmtId="0" fontId="54" fillId="2" borderId="35" xfId="0" applyFont="1" applyFill="1" applyBorder="1" applyAlignment="1">
      <alignment horizontal="center"/>
    </xf>
    <xf numFmtId="0" fontId="54" fillId="2" borderId="23" xfId="0" applyFont="1" applyFill="1" applyBorder="1" applyAlignment="1">
      <alignment horizontal="center"/>
    </xf>
    <xf numFmtId="0" fontId="54" fillId="2" borderId="24" xfId="0" applyFont="1" applyFill="1" applyBorder="1" applyAlignment="1">
      <alignment horizontal="center"/>
    </xf>
    <xf numFmtId="0" fontId="52" fillId="53" borderId="35" xfId="0" applyFont="1" applyFill="1" applyBorder="1" applyAlignment="1">
      <alignment horizontal="center"/>
    </xf>
    <xf numFmtId="0" fontId="52" fillId="53" borderId="23" xfId="0" applyFont="1" applyFill="1" applyBorder="1" applyAlignment="1">
      <alignment horizontal="center"/>
    </xf>
    <xf numFmtId="0" fontId="52" fillId="53" borderId="24" xfId="0" applyFont="1" applyFill="1" applyBorder="1" applyAlignment="1">
      <alignment horizontal="center"/>
    </xf>
    <xf numFmtId="9" fontId="3" fillId="45" borderId="29" xfId="1" applyFont="1" applyFill="1" applyBorder="1" applyAlignment="1">
      <alignment horizontal="center" vertical="center" wrapText="1"/>
    </xf>
    <xf numFmtId="9" fontId="3" fillId="45" borderId="30" xfId="1" applyFont="1" applyFill="1" applyBorder="1" applyAlignment="1">
      <alignment horizontal="center" vertical="center" wrapText="1"/>
    </xf>
    <xf numFmtId="9" fontId="3" fillId="45" borderId="83" xfId="1" applyFont="1" applyFill="1" applyBorder="1" applyAlignment="1">
      <alignment horizontal="center" vertical="center" wrapText="1"/>
    </xf>
    <xf numFmtId="9" fontId="52" fillId="2" borderId="29" xfId="1" applyFont="1" applyFill="1" applyBorder="1" applyAlignment="1">
      <alignment horizontal="center" vertical="center"/>
    </xf>
    <xf numFmtId="9" fontId="52" fillId="2" borderId="30" xfId="1" applyFont="1" applyFill="1" applyBorder="1" applyAlignment="1">
      <alignment horizontal="center" vertical="center"/>
    </xf>
    <xf numFmtId="9" fontId="55" fillId="2" borderId="29" xfId="1" applyFont="1" applyFill="1" applyBorder="1" applyAlignment="1">
      <alignment horizontal="center" vertical="center"/>
    </xf>
    <xf numFmtId="9" fontId="55" fillId="2" borderId="30" xfId="1" applyFont="1" applyFill="1" applyBorder="1" applyAlignment="1">
      <alignment horizontal="center" vertical="center"/>
    </xf>
    <xf numFmtId="9" fontId="55" fillId="2" borderId="83" xfId="1" applyFont="1" applyFill="1" applyBorder="1" applyAlignment="1">
      <alignment horizontal="center" vertical="center"/>
    </xf>
    <xf numFmtId="9" fontId="3" fillId="45" borderId="29" xfId="1" applyFont="1" applyFill="1" applyBorder="1" applyAlignment="1">
      <alignment horizontal="center" vertical="center"/>
    </xf>
    <xf numFmtId="9" fontId="3" fillId="45" borderId="83" xfId="1" applyFont="1" applyFill="1" applyBorder="1" applyAlignment="1">
      <alignment horizontal="center" vertical="center"/>
    </xf>
    <xf numFmtId="9" fontId="3" fillId="45" borderId="30" xfId="1" applyFont="1" applyFill="1" applyBorder="1" applyAlignment="1">
      <alignment horizontal="center" vertical="center"/>
    </xf>
    <xf numFmtId="9" fontId="52" fillId="2" borderId="83" xfId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3" fillId="0" borderId="146" xfId="0" applyFont="1" applyFill="1" applyBorder="1" applyAlignment="1">
      <alignment horizontal="center" vertical="center" wrapText="1"/>
    </xf>
    <xf numFmtId="0" fontId="73" fillId="0" borderId="147" xfId="0" applyFont="1" applyFill="1" applyBorder="1" applyAlignment="1">
      <alignment horizontal="center" vertical="center" wrapText="1"/>
    </xf>
    <xf numFmtId="0" fontId="73" fillId="0" borderId="148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59" fillId="0" borderId="1" xfId="0" applyFont="1" applyFill="1" applyBorder="1" applyAlignment="1" applyProtection="1">
      <alignment horizontal="center" vertical="center" wrapText="1"/>
    </xf>
    <xf numFmtId="0" fontId="47" fillId="4" borderId="1" xfId="0" applyFont="1" applyFill="1" applyBorder="1" applyAlignment="1" applyProtection="1">
      <alignment horizontal="center"/>
    </xf>
    <xf numFmtId="0" fontId="9" fillId="0" borderId="4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46" fillId="6" borderId="51" xfId="0" applyFont="1" applyFill="1" applyBorder="1" applyAlignment="1" applyProtection="1">
      <alignment horizontal="center" vertical="center" wrapText="1"/>
    </xf>
    <xf numFmtId="0" fontId="46" fillId="6" borderId="123" xfId="0" applyFont="1" applyFill="1" applyBorder="1" applyAlignment="1" applyProtection="1">
      <alignment horizontal="center" vertical="center" wrapText="1"/>
    </xf>
    <xf numFmtId="0" fontId="45" fillId="7" borderId="1" xfId="0" applyFont="1" applyFill="1" applyBorder="1" applyAlignment="1" applyProtection="1">
      <alignment horizontal="center" vertical="center" wrapText="1"/>
    </xf>
    <xf numFmtId="10" fontId="3" fillId="9" borderId="29" xfId="1" applyNumberFormat="1" applyFont="1" applyFill="1" applyBorder="1" applyAlignment="1">
      <alignment horizontal="center" vertical="center"/>
    </xf>
    <xf numFmtId="10" fontId="3" fillId="9" borderId="30" xfId="1" applyNumberFormat="1" applyFont="1" applyFill="1" applyBorder="1" applyAlignment="1">
      <alignment horizontal="center" vertical="center"/>
    </xf>
    <xf numFmtId="10" fontId="3" fillId="9" borderId="83" xfId="1" applyNumberFormat="1" applyFont="1" applyFill="1" applyBorder="1" applyAlignment="1">
      <alignment horizontal="center" vertical="center"/>
    </xf>
    <xf numFmtId="0" fontId="20" fillId="9" borderId="35" xfId="0" applyFont="1" applyFill="1" applyBorder="1" applyAlignment="1">
      <alignment horizontal="center"/>
    </xf>
    <xf numFmtId="0" fontId="20" fillId="9" borderId="23" xfId="0" applyFont="1" applyFill="1" applyBorder="1" applyAlignment="1">
      <alignment horizontal="center"/>
    </xf>
    <xf numFmtId="0" fontId="20" fillId="9" borderId="24" xfId="0" applyFont="1" applyFill="1" applyBorder="1" applyAlignment="1">
      <alignment horizontal="center"/>
    </xf>
    <xf numFmtId="0" fontId="0" fillId="0" borderId="29" xfId="0" applyFont="1" applyBorder="1" applyAlignment="1">
      <alignment horizontal="center" vertical="center" wrapText="1"/>
    </xf>
    <xf numFmtId="0" fontId="0" fillId="0" borderId="83" xfId="0" applyFont="1" applyBorder="1" applyAlignment="1">
      <alignment horizontal="center" vertical="center" wrapText="1"/>
    </xf>
    <xf numFmtId="0" fontId="76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2" fillId="52" borderId="35" xfId="0" applyFont="1" applyFill="1" applyBorder="1" applyAlignment="1">
      <alignment horizontal="center"/>
    </xf>
    <xf numFmtId="0" fontId="52" fillId="52" borderId="23" xfId="0" applyFont="1" applyFill="1" applyBorder="1" applyAlignment="1">
      <alignment horizontal="center"/>
    </xf>
    <xf numFmtId="0" fontId="52" fillId="52" borderId="24" xfId="0" applyFont="1" applyFill="1" applyBorder="1" applyAlignment="1">
      <alignment horizontal="center"/>
    </xf>
    <xf numFmtId="0" fontId="52" fillId="4" borderId="35" xfId="0" applyFont="1" applyFill="1" applyBorder="1" applyAlignment="1">
      <alignment horizontal="center"/>
    </xf>
    <xf numFmtId="0" fontId="52" fillId="4" borderId="23" xfId="0" applyFont="1" applyFill="1" applyBorder="1" applyAlignment="1">
      <alignment horizontal="center"/>
    </xf>
    <xf numFmtId="0" fontId="52" fillId="4" borderId="24" xfId="0" applyFont="1" applyFill="1" applyBorder="1" applyAlignment="1">
      <alignment horizontal="center"/>
    </xf>
  </cellXfs>
  <cellStyles count="46">
    <cellStyle name="20% - Énfasis1" xfId="19" builtinId="30" customBuiltin="1"/>
    <cellStyle name="20% - Énfasis2" xfId="22" builtinId="34" customBuiltin="1"/>
    <cellStyle name="20% - Énfasis3" xfId="25" builtinId="38" customBuiltin="1"/>
    <cellStyle name="20% - Énfasis4" xfId="28" builtinId="42" customBuiltin="1"/>
    <cellStyle name="20% - Énfasis5" xfId="31" builtinId="46" customBuiltin="1"/>
    <cellStyle name="20% - Énfasis6" xfId="34" builtinId="50" customBuiltin="1"/>
    <cellStyle name="40% - Énfasis1" xfId="20" builtinId="31" customBuiltin="1"/>
    <cellStyle name="40% - Énfasis2" xfId="23" builtinId="35" customBuiltin="1"/>
    <cellStyle name="40% - Énfasis3" xfId="26" builtinId="39" customBuiltin="1"/>
    <cellStyle name="40% - Énfasis4" xfId="29" builtinId="43" customBuiltin="1"/>
    <cellStyle name="40% - Énfasis5" xfId="32" builtinId="47" customBuiltin="1"/>
    <cellStyle name="40% - Énfasis6" xfId="35" builtinId="51" customBuiltin="1"/>
    <cellStyle name="60% - Énfasis1 2" xfId="37" xr:uid="{00000000-0005-0000-0000-00000C000000}"/>
    <cellStyle name="60% - Énfasis2 2" xfId="38" xr:uid="{00000000-0005-0000-0000-00000D000000}"/>
    <cellStyle name="60% - Énfasis3 2" xfId="39" xr:uid="{00000000-0005-0000-0000-00000E000000}"/>
    <cellStyle name="60% - Énfasis4 2" xfId="40" xr:uid="{00000000-0005-0000-0000-00000F000000}"/>
    <cellStyle name="60% - Énfasis5 2" xfId="41" xr:uid="{00000000-0005-0000-0000-000010000000}"/>
    <cellStyle name="60% - Énfasis6 2" xfId="42" xr:uid="{00000000-0005-0000-0000-000011000000}"/>
    <cellStyle name="Bueno" xfId="7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3" builtinId="16" customBuiltin="1"/>
    <cellStyle name="Encabezado 4" xfId="6" builtinId="19" customBuiltin="1"/>
    <cellStyle name="Énfasis1" xfId="18" builtinId="29" customBuiltin="1"/>
    <cellStyle name="Énfasis2" xfId="21" builtinId="33" customBuiltin="1"/>
    <cellStyle name="Énfasis3" xfId="24" builtinId="37" customBuiltin="1"/>
    <cellStyle name="Énfasis4" xfId="27" builtinId="41" customBuiltin="1"/>
    <cellStyle name="Énfasis5" xfId="30" builtinId="45" customBuiltin="1"/>
    <cellStyle name="Énfasis6" xfId="33" builtinId="49" customBuiltin="1"/>
    <cellStyle name="Entrada" xfId="9" builtinId="20" customBuiltin="1"/>
    <cellStyle name="Incorrecto" xfId="8" builtinId="27" customBuiltin="1"/>
    <cellStyle name="Millares" xfId="45" builtinId="3"/>
    <cellStyle name="Neutral 2" xfId="36" xr:uid="{00000000-0005-0000-0000-000021000000}"/>
    <cellStyle name="Normal" xfId="0" builtinId="0"/>
    <cellStyle name="Normal 2" xfId="43" xr:uid="{00000000-0005-0000-0000-000023000000}"/>
    <cellStyle name="Notas" xfId="15" builtinId="10" customBuiltin="1"/>
    <cellStyle name="Porcentaje" xfId="1" builtinId="5"/>
    <cellStyle name="Porcentaje 2" xfId="44" xr:uid="{00000000-0005-0000-0000-000026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FFCCCC"/>
      <color rgb="FFFFFF99"/>
      <color rgb="FFF010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301863188583909E-2"/>
          <c:y val="8.8927937413601152E-2"/>
          <c:w val="0.91753740317015886"/>
          <c:h val="0.60745741649047535"/>
        </c:manualLayout>
      </c:layout>
      <c:lineChart>
        <c:grouping val="standard"/>
        <c:varyColors val="0"/>
        <c:ser>
          <c:idx val="0"/>
          <c:order val="0"/>
          <c:tx>
            <c:strRef>
              <c:f>'1'!$A$9</c:f>
              <c:strCache>
                <c:ptCount val="1"/>
                <c:pt idx="0">
                  <c:v>2017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7.7830327434843145E-3"/>
                  <c:y val="4.68041775861057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F5B-4CCA-BB12-F1D4032AF3FB}"/>
                </c:ext>
              </c:extLst>
            </c:dLbl>
            <c:dLbl>
              <c:idx val="3"/>
              <c:layout>
                <c:manualLayout>
                  <c:x val="-6.4858606195703095E-3"/>
                  <c:y val="3.27629243102741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F5B-4CCA-BB12-F1D4032AF3FB}"/>
                </c:ext>
              </c:extLst>
            </c:dLbl>
            <c:dLbl>
              <c:idx val="4"/>
              <c:layout>
                <c:manualLayout>
                  <c:x val="0"/>
                  <c:y val="2.80825065516634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F5B-4CCA-BB12-F1D4032AF3FB}"/>
                </c:ext>
              </c:extLst>
            </c:dLbl>
            <c:dLbl>
              <c:idx val="5"/>
              <c:layout>
                <c:manualLayout>
                  <c:x val="-1.2971721239140525E-3"/>
                  <c:y val="1.87216710344423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F5B-4CCA-BB12-F1D4032AF3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'1'!$B$8:$M$8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'1'!$B$9:$M$9</c:f>
              <c:numCache>
                <c:formatCode>General</c:formatCode>
                <c:ptCount val="12"/>
                <c:pt idx="0">
                  <c:v>1516</c:v>
                </c:pt>
                <c:pt idx="1">
                  <c:v>1210</c:v>
                </c:pt>
                <c:pt idx="2">
                  <c:v>824</c:v>
                </c:pt>
                <c:pt idx="3">
                  <c:v>852</c:v>
                </c:pt>
                <c:pt idx="4">
                  <c:v>668</c:v>
                </c:pt>
                <c:pt idx="5">
                  <c:v>637</c:v>
                </c:pt>
                <c:pt idx="6">
                  <c:v>807</c:v>
                </c:pt>
                <c:pt idx="7">
                  <c:v>797</c:v>
                </c:pt>
                <c:pt idx="8">
                  <c:v>840</c:v>
                </c:pt>
                <c:pt idx="9">
                  <c:v>830</c:v>
                </c:pt>
                <c:pt idx="10">
                  <c:v>745</c:v>
                </c:pt>
                <c:pt idx="11">
                  <c:v>629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A91-4E22-8629-50AEF60416CB}"/>
            </c:ext>
          </c:extLst>
        </c:ser>
        <c:ser>
          <c:idx val="1"/>
          <c:order val="1"/>
          <c:tx>
            <c:strRef>
              <c:f>'1'!$A$11</c:f>
              <c:strCache>
                <c:ptCount val="1"/>
                <c:pt idx="0">
                  <c:v>2018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6.4858606195702618E-3"/>
                  <c:y val="-6.084543086193762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F5B-4CCA-BB12-F1D4032AF3FB}"/>
                </c:ext>
              </c:extLst>
            </c:dLbl>
            <c:dLbl>
              <c:idx val="3"/>
              <c:layout>
                <c:manualLayout>
                  <c:x val="-2.5943442478281523E-3"/>
                  <c:y val="-5.61650131033270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F5B-4CCA-BB12-F1D4032AF3FB}"/>
                </c:ext>
              </c:extLst>
            </c:dLbl>
            <c:dLbl>
              <c:idx val="4"/>
              <c:layout>
                <c:manualLayout>
                  <c:x val="-1.8160409734796733E-2"/>
                  <c:y val="-4.68041775861058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F5B-4CCA-BB12-F1D4032AF3FB}"/>
                </c:ext>
              </c:extLst>
            </c:dLbl>
            <c:dLbl>
              <c:idx val="5"/>
              <c:layout>
                <c:manualLayout>
                  <c:x val="-1.037737699131242E-2"/>
                  <c:y val="-4.21237598274952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F5B-4CCA-BB12-F1D4032AF3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'1'!$B$8:$M$8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'1'!$B$11:$M$11</c:f>
              <c:numCache>
                <c:formatCode>General</c:formatCode>
                <c:ptCount val="12"/>
                <c:pt idx="0">
                  <c:v>633</c:v>
                </c:pt>
                <c:pt idx="1">
                  <c:v>816</c:v>
                </c:pt>
                <c:pt idx="2">
                  <c:v>836</c:v>
                </c:pt>
                <c:pt idx="3">
                  <c:v>915</c:v>
                </c:pt>
                <c:pt idx="4">
                  <c:v>912</c:v>
                </c:pt>
                <c:pt idx="5">
                  <c:v>882</c:v>
                </c:pt>
                <c:pt idx="6">
                  <c:v>918</c:v>
                </c:pt>
                <c:pt idx="7">
                  <c:v>962</c:v>
                </c:pt>
                <c:pt idx="8">
                  <c:v>967</c:v>
                </c:pt>
                <c:pt idx="9">
                  <c:v>831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A91-4E22-8629-50AEF60416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13181192"/>
        <c:axId val="313181584"/>
      </c:lineChart>
      <c:catAx>
        <c:axId val="313181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313181584"/>
        <c:crosses val="autoZero"/>
        <c:auto val="1"/>
        <c:lblAlgn val="ctr"/>
        <c:lblOffset val="100"/>
        <c:noMultiLvlLbl val="0"/>
      </c:catAx>
      <c:valAx>
        <c:axId val="313181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313181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Evolucion GO Retrasadas 2018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'1.1'!$A$20</c:f>
              <c:strCache>
                <c:ptCount val="1"/>
                <c:pt idx="0">
                  <c:v>Hospital la Serena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'1.1'!$B$19:$K$19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'1.1'!$B$20:$K$20</c:f>
              <c:numCache>
                <c:formatCode>General</c:formatCode>
                <c:ptCount val="10"/>
                <c:pt idx="0">
                  <c:v>527</c:v>
                </c:pt>
                <c:pt idx="1">
                  <c:v>988</c:v>
                </c:pt>
                <c:pt idx="2">
                  <c:v>596</c:v>
                </c:pt>
                <c:pt idx="3">
                  <c:v>605</c:v>
                </c:pt>
                <c:pt idx="4">
                  <c:v>660</c:v>
                </c:pt>
                <c:pt idx="5">
                  <c:v>710</c:v>
                </c:pt>
                <c:pt idx="6">
                  <c:v>716</c:v>
                </c:pt>
                <c:pt idx="7">
                  <c:v>703</c:v>
                </c:pt>
                <c:pt idx="8">
                  <c:v>782</c:v>
                </c:pt>
                <c:pt idx="9">
                  <c:v>658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EA-4768-A0C6-ECC77EB823FD}"/>
            </c:ext>
          </c:extLst>
        </c:ser>
        <c:ser>
          <c:idx val="1"/>
          <c:order val="1"/>
          <c:tx>
            <c:strRef>
              <c:f>'1.1'!$A$21</c:f>
              <c:strCache>
                <c:ptCount val="1"/>
                <c:pt idx="0">
                  <c:v>Hospital Coquimbo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'1.1'!$B$19:$K$19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'1.1'!$B$21:$K$21</c:f>
              <c:numCache>
                <c:formatCode>General</c:formatCode>
                <c:ptCount val="10"/>
                <c:pt idx="0">
                  <c:v>0</c:v>
                </c:pt>
                <c:pt idx="1">
                  <c:v>31</c:v>
                </c:pt>
                <c:pt idx="2">
                  <c:v>35</c:v>
                </c:pt>
                <c:pt idx="3">
                  <c:v>28</c:v>
                </c:pt>
                <c:pt idx="4">
                  <c:v>47</c:v>
                </c:pt>
                <c:pt idx="5">
                  <c:v>33</c:v>
                </c:pt>
                <c:pt idx="6">
                  <c:v>22</c:v>
                </c:pt>
                <c:pt idx="7">
                  <c:v>16</c:v>
                </c:pt>
                <c:pt idx="8">
                  <c:v>37</c:v>
                </c:pt>
                <c:pt idx="9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8EA-4768-A0C6-ECC77EB823FD}"/>
            </c:ext>
          </c:extLst>
        </c:ser>
        <c:ser>
          <c:idx val="2"/>
          <c:order val="2"/>
          <c:tx>
            <c:strRef>
              <c:f>'1.1'!$A$22</c:f>
              <c:strCache>
                <c:ptCount val="1"/>
                <c:pt idx="0">
                  <c:v>Hospital Ovalle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'1.1'!$B$19:$K$19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'1.1'!$B$22:$K$22</c:f>
              <c:numCache>
                <c:formatCode>General</c:formatCode>
                <c:ptCount val="10"/>
                <c:pt idx="0">
                  <c:v>61</c:v>
                </c:pt>
                <c:pt idx="1">
                  <c:v>165</c:v>
                </c:pt>
                <c:pt idx="2">
                  <c:v>65</c:v>
                </c:pt>
                <c:pt idx="3">
                  <c:v>40</c:v>
                </c:pt>
                <c:pt idx="4">
                  <c:v>51</c:v>
                </c:pt>
                <c:pt idx="5">
                  <c:v>50</c:v>
                </c:pt>
                <c:pt idx="6">
                  <c:v>41</c:v>
                </c:pt>
                <c:pt idx="7">
                  <c:v>32</c:v>
                </c:pt>
                <c:pt idx="8">
                  <c:v>22</c:v>
                </c:pt>
                <c:pt idx="9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8EA-4768-A0C6-ECC77EB823FD}"/>
            </c:ext>
          </c:extLst>
        </c:ser>
        <c:ser>
          <c:idx val="3"/>
          <c:order val="3"/>
          <c:tx>
            <c:strRef>
              <c:f>'1.1'!$A$23</c:f>
              <c:strCache>
                <c:ptCount val="1"/>
                <c:pt idx="0">
                  <c:v>Hospital Illapel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'1.1'!$B$19:$K$19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'1.1'!$B$23:$K$23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3">
                  <c:v>1</c:v>
                </c:pt>
                <c:pt idx="4">
                  <c:v>4</c:v>
                </c:pt>
                <c:pt idx="5">
                  <c:v>1</c:v>
                </c:pt>
                <c:pt idx="6">
                  <c:v>3</c:v>
                </c:pt>
                <c:pt idx="7">
                  <c:v>0</c:v>
                </c:pt>
                <c:pt idx="8">
                  <c:v>9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8EA-4768-A0C6-ECC77EB823FD}"/>
            </c:ext>
          </c:extLst>
        </c:ser>
        <c:ser>
          <c:idx val="4"/>
          <c:order val="4"/>
          <c:tx>
            <c:strRef>
              <c:f>'1.1'!$A$24</c:f>
              <c:strCache>
                <c:ptCount val="1"/>
                <c:pt idx="0">
                  <c:v>Hospitales baja complejidad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'1.1'!$B$19:$K$19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'1.1'!$B$24:$K$24</c:f>
              <c:numCache>
                <c:formatCode>General</c:formatCode>
                <c:ptCount val="10"/>
                <c:pt idx="0">
                  <c:v>11</c:v>
                </c:pt>
                <c:pt idx="1">
                  <c:v>35</c:v>
                </c:pt>
                <c:pt idx="2">
                  <c:v>20</c:v>
                </c:pt>
                <c:pt idx="3">
                  <c:v>12</c:v>
                </c:pt>
                <c:pt idx="4">
                  <c:v>20</c:v>
                </c:pt>
                <c:pt idx="5">
                  <c:v>16</c:v>
                </c:pt>
                <c:pt idx="6">
                  <c:v>39</c:v>
                </c:pt>
                <c:pt idx="7">
                  <c:v>55</c:v>
                </c:pt>
                <c:pt idx="8">
                  <c:v>30</c:v>
                </c:pt>
                <c:pt idx="9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8EA-4768-A0C6-ECC77EB823FD}"/>
            </c:ext>
          </c:extLst>
        </c:ser>
        <c:ser>
          <c:idx val="5"/>
          <c:order val="5"/>
          <c:tx>
            <c:strRef>
              <c:f>'1.1'!$A$25</c:f>
              <c:strCache>
                <c:ptCount val="1"/>
                <c:pt idx="0">
                  <c:v>APS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'1.1'!$B$19:$K$19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'1.1'!$B$25:$K$25</c:f>
              <c:numCache>
                <c:formatCode>General</c:formatCode>
                <c:ptCount val="10"/>
                <c:pt idx="0">
                  <c:v>34</c:v>
                </c:pt>
                <c:pt idx="1">
                  <c:v>133</c:v>
                </c:pt>
                <c:pt idx="2">
                  <c:v>88</c:v>
                </c:pt>
                <c:pt idx="3">
                  <c:v>99</c:v>
                </c:pt>
                <c:pt idx="4">
                  <c:v>78</c:v>
                </c:pt>
                <c:pt idx="5">
                  <c:v>72</c:v>
                </c:pt>
                <c:pt idx="6">
                  <c:v>97</c:v>
                </c:pt>
                <c:pt idx="7">
                  <c:v>156</c:v>
                </c:pt>
                <c:pt idx="8">
                  <c:v>87</c:v>
                </c:pt>
                <c:pt idx="9">
                  <c:v>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8EA-4768-A0C6-ECC77EB823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7279656"/>
        <c:axId val="487279984"/>
      </c:lineChart>
      <c:catAx>
        <c:axId val="487279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87279984"/>
        <c:crosses val="autoZero"/>
        <c:auto val="1"/>
        <c:lblAlgn val="ctr"/>
        <c:lblOffset val="100"/>
        <c:noMultiLvlLbl val="0"/>
      </c:catAx>
      <c:valAx>
        <c:axId val="487279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87279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19830968547652955"/>
          <c:w val="0.29293094767672517"/>
          <c:h val="0.7301492460627074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Evolucion GO Retrasadas 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'1.1'!$A$8</c:f>
              <c:strCache>
                <c:ptCount val="1"/>
                <c:pt idx="0">
                  <c:v>Hospital la Serena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'1.1'!$B$8:$M$8</c:f>
              <c:numCache>
                <c:formatCode>General</c:formatCode>
                <c:ptCount val="12"/>
                <c:pt idx="0">
                  <c:v>1280</c:v>
                </c:pt>
                <c:pt idx="1">
                  <c:v>911</c:v>
                </c:pt>
                <c:pt idx="2">
                  <c:v>601</c:v>
                </c:pt>
                <c:pt idx="3">
                  <c:v>534</c:v>
                </c:pt>
                <c:pt idx="4">
                  <c:v>373</c:v>
                </c:pt>
                <c:pt idx="5">
                  <c:v>382</c:v>
                </c:pt>
                <c:pt idx="6">
                  <c:v>526</c:v>
                </c:pt>
                <c:pt idx="7">
                  <c:v>559</c:v>
                </c:pt>
                <c:pt idx="8">
                  <c:v>597</c:v>
                </c:pt>
                <c:pt idx="9">
                  <c:v>668</c:v>
                </c:pt>
                <c:pt idx="10">
                  <c:v>584</c:v>
                </c:pt>
                <c:pt idx="11">
                  <c:v>490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C1-4AF5-BEEF-842F4849973F}"/>
            </c:ext>
          </c:extLst>
        </c:ser>
        <c:ser>
          <c:idx val="1"/>
          <c:order val="1"/>
          <c:tx>
            <c:strRef>
              <c:f>'1.1'!$A$9</c:f>
              <c:strCache>
                <c:ptCount val="1"/>
                <c:pt idx="0">
                  <c:v>Hospital Coquimbo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'1.1'!$B$9:$M$9</c:f>
              <c:numCache>
                <c:formatCode>General</c:formatCode>
                <c:ptCount val="12"/>
                <c:pt idx="0">
                  <c:v>94</c:v>
                </c:pt>
                <c:pt idx="1">
                  <c:v>72</c:v>
                </c:pt>
                <c:pt idx="2">
                  <c:v>63</c:v>
                </c:pt>
                <c:pt idx="3">
                  <c:v>71</c:v>
                </c:pt>
                <c:pt idx="4">
                  <c:v>147</c:v>
                </c:pt>
                <c:pt idx="5">
                  <c:v>113</c:v>
                </c:pt>
                <c:pt idx="6">
                  <c:v>96</c:v>
                </c:pt>
                <c:pt idx="7">
                  <c:v>47</c:v>
                </c:pt>
                <c:pt idx="8">
                  <c:v>77</c:v>
                </c:pt>
                <c:pt idx="9">
                  <c:v>34</c:v>
                </c:pt>
                <c:pt idx="10">
                  <c:v>23</c:v>
                </c:pt>
                <c:pt idx="1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9C1-4AF5-BEEF-842F4849973F}"/>
            </c:ext>
          </c:extLst>
        </c:ser>
        <c:ser>
          <c:idx val="2"/>
          <c:order val="2"/>
          <c:tx>
            <c:strRef>
              <c:f>'1.1'!$A$10</c:f>
              <c:strCache>
                <c:ptCount val="1"/>
                <c:pt idx="0">
                  <c:v>Hospital Ovalle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'1.1'!$B$10:$M$10</c:f>
              <c:numCache>
                <c:formatCode>General</c:formatCode>
                <c:ptCount val="12"/>
                <c:pt idx="0">
                  <c:v>60</c:v>
                </c:pt>
                <c:pt idx="1">
                  <c:v>110</c:v>
                </c:pt>
                <c:pt idx="2">
                  <c:v>81</c:v>
                </c:pt>
                <c:pt idx="3">
                  <c:v>62</c:v>
                </c:pt>
                <c:pt idx="4">
                  <c:v>57</c:v>
                </c:pt>
                <c:pt idx="5">
                  <c:v>33</c:v>
                </c:pt>
                <c:pt idx="6">
                  <c:v>77</c:v>
                </c:pt>
                <c:pt idx="7">
                  <c:v>38</c:v>
                </c:pt>
                <c:pt idx="8">
                  <c:v>48</c:v>
                </c:pt>
                <c:pt idx="9">
                  <c:v>50</c:v>
                </c:pt>
                <c:pt idx="10">
                  <c:v>51</c:v>
                </c:pt>
                <c:pt idx="11">
                  <c:v>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9C1-4AF5-BEEF-842F4849973F}"/>
            </c:ext>
          </c:extLst>
        </c:ser>
        <c:ser>
          <c:idx val="3"/>
          <c:order val="3"/>
          <c:tx>
            <c:strRef>
              <c:f>'1.1'!$A$11</c:f>
              <c:strCache>
                <c:ptCount val="1"/>
                <c:pt idx="0">
                  <c:v>Hospital Illapel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'1.1'!$B$11:$M$11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8</c:v>
                </c:pt>
                <c:pt idx="4">
                  <c:v>16</c:v>
                </c:pt>
                <c:pt idx="5">
                  <c:v>19</c:v>
                </c:pt>
                <c:pt idx="6">
                  <c:v>21</c:v>
                </c:pt>
                <c:pt idx="7">
                  <c:v>1</c:v>
                </c:pt>
                <c:pt idx="8">
                  <c:v>4</c:v>
                </c:pt>
                <c:pt idx="9">
                  <c:v>3</c:v>
                </c:pt>
                <c:pt idx="10">
                  <c:v>5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9C1-4AF5-BEEF-842F4849973F}"/>
            </c:ext>
          </c:extLst>
        </c:ser>
        <c:ser>
          <c:idx val="4"/>
          <c:order val="4"/>
          <c:tx>
            <c:strRef>
              <c:f>'1.1'!$A$12</c:f>
              <c:strCache>
                <c:ptCount val="1"/>
                <c:pt idx="0">
                  <c:v>Hospitales baja complejidad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'1.1'!$B$12:$M$12</c:f>
              <c:numCache>
                <c:formatCode>General</c:formatCode>
                <c:ptCount val="12"/>
                <c:pt idx="0">
                  <c:v>19</c:v>
                </c:pt>
                <c:pt idx="1">
                  <c:v>25</c:v>
                </c:pt>
                <c:pt idx="2">
                  <c:v>18</c:v>
                </c:pt>
                <c:pt idx="3">
                  <c:v>30</c:v>
                </c:pt>
                <c:pt idx="4">
                  <c:v>9</c:v>
                </c:pt>
                <c:pt idx="5">
                  <c:v>10</c:v>
                </c:pt>
                <c:pt idx="6">
                  <c:v>24</c:v>
                </c:pt>
                <c:pt idx="7">
                  <c:v>33</c:v>
                </c:pt>
                <c:pt idx="8">
                  <c:v>38</c:v>
                </c:pt>
                <c:pt idx="9">
                  <c:v>23</c:v>
                </c:pt>
                <c:pt idx="10">
                  <c:v>26</c:v>
                </c:pt>
                <c:pt idx="11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9C1-4AF5-BEEF-842F4849973F}"/>
            </c:ext>
          </c:extLst>
        </c:ser>
        <c:ser>
          <c:idx val="5"/>
          <c:order val="5"/>
          <c:tx>
            <c:strRef>
              <c:f>'1.1'!$A$13</c:f>
              <c:strCache>
                <c:ptCount val="1"/>
                <c:pt idx="0">
                  <c:v>APS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'1.1'!$B$13:$M$13</c:f>
              <c:numCache>
                <c:formatCode>General</c:formatCode>
                <c:ptCount val="12"/>
                <c:pt idx="0">
                  <c:v>62</c:v>
                </c:pt>
                <c:pt idx="1">
                  <c:v>90</c:v>
                </c:pt>
                <c:pt idx="2">
                  <c:v>58</c:v>
                </c:pt>
                <c:pt idx="3">
                  <c:v>147</c:v>
                </c:pt>
                <c:pt idx="4">
                  <c:v>66</c:v>
                </c:pt>
                <c:pt idx="5">
                  <c:v>80</c:v>
                </c:pt>
                <c:pt idx="6">
                  <c:v>63</c:v>
                </c:pt>
                <c:pt idx="7">
                  <c:v>99</c:v>
                </c:pt>
                <c:pt idx="8">
                  <c:v>76</c:v>
                </c:pt>
                <c:pt idx="9">
                  <c:v>52</c:v>
                </c:pt>
                <c:pt idx="10">
                  <c:v>56</c:v>
                </c:pt>
                <c:pt idx="11">
                  <c:v>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9C1-4AF5-BEEF-842F484997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419864"/>
        <c:axId val="486420192"/>
      </c:lineChart>
      <c:catAx>
        <c:axId val="486419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86420192"/>
        <c:crosses val="autoZero"/>
        <c:auto val="1"/>
        <c:lblAlgn val="ctr"/>
        <c:lblOffset val="100"/>
        <c:noMultiLvlLbl val="0"/>
      </c:catAx>
      <c:valAx>
        <c:axId val="486420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86419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31818</xdr:colOff>
      <xdr:row>11</xdr:row>
      <xdr:rowOff>180458</xdr:rowOff>
    </xdr:from>
    <xdr:to>
      <xdr:col>12</xdr:col>
      <xdr:colOff>678346</xdr:colOff>
      <xdr:row>26</xdr:row>
      <xdr:rowOff>36391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6E7433D-5DA9-4C89-B377-6BFF8E6739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23812</xdr:colOff>
      <xdr:row>15</xdr:row>
      <xdr:rowOff>119063</xdr:rowOff>
    </xdr:from>
    <xdr:to>
      <xdr:col>18</xdr:col>
      <xdr:colOff>541733</xdr:colOff>
      <xdr:row>30</xdr:row>
      <xdr:rowOff>55960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AA5E715-BAC9-4520-BFB9-13E4A18F1F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17861</xdr:colOff>
      <xdr:row>0</xdr:row>
      <xdr:rowOff>0</xdr:rowOff>
    </xdr:from>
    <xdr:to>
      <xdr:col>19</xdr:col>
      <xdr:colOff>119063</xdr:colOff>
      <xdr:row>15</xdr:row>
      <xdr:rowOff>11906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F3B714E-44A5-4E6D-8768-BB4CE755E9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7"/>
  <sheetViews>
    <sheetView tabSelected="1" zoomScale="60" zoomScaleNormal="60" workbookViewId="0">
      <selection activeCell="B19" sqref="B19"/>
    </sheetView>
  </sheetViews>
  <sheetFormatPr baseColWidth="10" defaultRowHeight="15" x14ac:dyDescent="0.25"/>
  <cols>
    <col min="1" max="1" width="13.42578125" style="27" bestFit="1" customWidth="1"/>
    <col min="2" max="2" width="54.5703125" style="597" customWidth="1"/>
    <col min="3" max="3" width="175.5703125" customWidth="1"/>
  </cols>
  <sheetData>
    <row r="2" spans="1:7" s="260" customFormat="1" x14ac:dyDescent="0.25">
      <c r="A2" s="595" t="s">
        <v>349</v>
      </c>
      <c r="B2" s="760" t="s">
        <v>350</v>
      </c>
      <c r="C2" s="760"/>
    </row>
    <row r="3" spans="1:7" s="260" customFormat="1" x14ac:dyDescent="0.25">
      <c r="A3" s="280"/>
      <c r="B3" s="597"/>
    </row>
    <row r="4" spans="1:7" s="260" customFormat="1" x14ac:dyDescent="0.25">
      <c r="A4" s="280"/>
      <c r="B4" s="597"/>
      <c r="C4" s="598" t="s">
        <v>408</v>
      </c>
    </row>
    <row r="5" spans="1:7" s="260" customFormat="1" ht="15.75" thickBot="1" x14ac:dyDescent="0.3">
      <c r="A5" s="763" t="s">
        <v>406</v>
      </c>
      <c r="B5" s="763"/>
      <c r="C5" s="596" t="s">
        <v>405</v>
      </c>
    </row>
    <row r="6" spans="1:7" ht="30.75" thickTop="1" x14ac:dyDescent="0.25">
      <c r="A6" s="723">
        <v>1</v>
      </c>
      <c r="B6" s="724" t="s">
        <v>76</v>
      </c>
      <c r="C6" s="725" t="s">
        <v>426</v>
      </c>
    </row>
    <row r="7" spans="1:7" x14ac:dyDescent="0.25">
      <c r="A7" s="726" t="s">
        <v>169</v>
      </c>
      <c r="B7" s="625" t="s">
        <v>348</v>
      </c>
      <c r="C7" s="727" t="s">
        <v>427</v>
      </c>
      <c r="G7" s="599"/>
    </row>
    <row r="8" spans="1:7" ht="15.75" thickBot="1" x14ac:dyDescent="0.3">
      <c r="A8" s="728" t="s">
        <v>170</v>
      </c>
      <c r="B8" s="729" t="s">
        <v>77</v>
      </c>
      <c r="C8" s="730" t="s">
        <v>410</v>
      </c>
      <c r="G8" s="599"/>
    </row>
    <row r="9" spans="1:7" ht="15.75" thickTop="1" x14ac:dyDescent="0.25">
      <c r="G9" s="599"/>
    </row>
    <row r="10" spans="1:7" ht="15.75" thickBot="1" x14ac:dyDescent="0.3">
      <c r="A10" s="761" t="s">
        <v>28</v>
      </c>
      <c r="B10" s="762"/>
      <c r="G10" s="599"/>
    </row>
    <row r="11" spans="1:7" ht="32.25" customHeight="1" thickTop="1" x14ac:dyDescent="0.25">
      <c r="A11" s="731" t="s">
        <v>78</v>
      </c>
      <c r="B11" s="732" t="s">
        <v>346</v>
      </c>
      <c r="C11" s="733" t="s">
        <v>422</v>
      </c>
    </row>
    <row r="12" spans="1:7" ht="95.25" customHeight="1" x14ac:dyDescent="0.25">
      <c r="A12" s="734" t="s">
        <v>440</v>
      </c>
      <c r="B12" s="626" t="s">
        <v>420</v>
      </c>
      <c r="C12" s="735" t="s">
        <v>445</v>
      </c>
    </row>
    <row r="13" spans="1:7" ht="45" x14ac:dyDescent="0.25">
      <c r="A13" s="736" t="s">
        <v>79</v>
      </c>
      <c r="B13" s="627" t="s">
        <v>347</v>
      </c>
      <c r="C13" s="737" t="s">
        <v>428</v>
      </c>
    </row>
    <row r="14" spans="1:7" ht="63.75" customHeight="1" x14ac:dyDescent="0.25">
      <c r="A14" s="736" t="s">
        <v>439</v>
      </c>
      <c r="B14" s="627" t="s">
        <v>421</v>
      </c>
      <c r="C14" s="738" t="s">
        <v>444</v>
      </c>
    </row>
    <row r="15" spans="1:7" x14ac:dyDescent="0.25">
      <c r="A15" s="739" t="s">
        <v>80</v>
      </c>
      <c r="B15" s="628" t="s">
        <v>346</v>
      </c>
      <c r="C15" s="740" t="s">
        <v>443</v>
      </c>
    </row>
    <row r="16" spans="1:7" ht="93" customHeight="1" thickBot="1" x14ac:dyDescent="0.3">
      <c r="A16" s="741" t="s">
        <v>441</v>
      </c>
      <c r="B16" s="742" t="s">
        <v>421</v>
      </c>
      <c r="C16" s="743" t="s">
        <v>446</v>
      </c>
    </row>
    <row r="17" ht="15.75" thickTop="1" x14ac:dyDescent="0.25"/>
  </sheetData>
  <mergeCells count="3">
    <mergeCell ref="B2:C2"/>
    <mergeCell ref="A10:B10"/>
    <mergeCell ref="A5:B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N32"/>
  <sheetViews>
    <sheetView zoomScale="80" zoomScaleNormal="80" workbookViewId="0">
      <selection activeCell="O15" sqref="O15"/>
    </sheetView>
  </sheetViews>
  <sheetFormatPr baseColWidth="10" defaultRowHeight="15" x14ac:dyDescent="0.25"/>
  <sheetData>
    <row r="1" spans="1:14" x14ac:dyDescent="0.25">
      <c r="A1" s="2" t="s">
        <v>15</v>
      </c>
    </row>
    <row r="2" spans="1:14" x14ac:dyDescent="0.25">
      <c r="A2" s="2" t="s">
        <v>16</v>
      </c>
    </row>
    <row r="3" spans="1:14" x14ac:dyDescent="0.25">
      <c r="A3" s="2" t="s">
        <v>17</v>
      </c>
    </row>
    <row r="4" spans="1:14" x14ac:dyDescent="0.25">
      <c r="A4" s="2" t="s">
        <v>18</v>
      </c>
    </row>
    <row r="6" spans="1:14" ht="21" x14ac:dyDescent="0.35">
      <c r="B6" s="764" t="s">
        <v>81</v>
      </c>
      <c r="C6" s="764"/>
      <c r="D6" s="764"/>
      <c r="E6" s="764"/>
      <c r="F6" s="764"/>
      <c r="G6" s="764"/>
      <c r="H6" s="764"/>
      <c r="I6" s="764"/>
      <c r="J6" s="764"/>
      <c r="K6" s="764"/>
      <c r="L6" s="764"/>
    </row>
    <row r="7" spans="1:14" x14ac:dyDescent="0.25">
      <c r="A7" s="12"/>
    </row>
    <row r="8" spans="1:14" x14ac:dyDescent="0.25">
      <c r="A8" s="13" t="s">
        <v>37</v>
      </c>
      <c r="B8" s="14" t="s">
        <v>50</v>
      </c>
      <c r="C8" s="14" t="s">
        <v>51</v>
      </c>
      <c r="D8" s="14" t="s">
        <v>52</v>
      </c>
      <c r="E8" s="14" t="s">
        <v>53</v>
      </c>
      <c r="F8" s="14" t="s">
        <v>54</v>
      </c>
      <c r="G8" s="14" t="s">
        <v>55</v>
      </c>
      <c r="H8" s="14" t="s">
        <v>56</v>
      </c>
      <c r="I8" s="14" t="s">
        <v>57</v>
      </c>
      <c r="J8" s="14" t="s">
        <v>58</v>
      </c>
      <c r="K8" s="14" t="s">
        <v>59</v>
      </c>
      <c r="L8" s="14" t="s">
        <v>60</v>
      </c>
      <c r="M8" s="14" t="s">
        <v>61</v>
      </c>
    </row>
    <row r="9" spans="1:14" x14ac:dyDescent="0.25">
      <c r="A9" s="13">
        <v>2017</v>
      </c>
      <c r="B9" s="15">
        <v>1516</v>
      </c>
      <c r="C9" s="15">
        <v>1210</v>
      </c>
      <c r="D9" s="15">
        <v>824</v>
      </c>
      <c r="E9" s="15">
        <v>852</v>
      </c>
      <c r="F9" s="15">
        <v>668</v>
      </c>
      <c r="G9" s="15">
        <v>637</v>
      </c>
      <c r="H9" s="15">
        <v>807</v>
      </c>
      <c r="I9" s="15">
        <v>797</v>
      </c>
      <c r="J9" s="15">
        <v>840</v>
      </c>
      <c r="K9" s="15">
        <v>830</v>
      </c>
      <c r="L9" s="15">
        <v>745</v>
      </c>
      <c r="M9" s="15">
        <v>629</v>
      </c>
    </row>
    <row r="10" spans="1:14" s="40" customFormat="1" hidden="1" x14ac:dyDescent="0.25">
      <c r="A10" s="13"/>
      <c r="B10" s="39"/>
      <c r="C10" s="39"/>
      <c r="D10" s="39"/>
      <c r="E10" s="39"/>
      <c r="F10" s="39"/>
      <c r="G10" s="39"/>
      <c r="H10" s="16" t="s">
        <v>174</v>
      </c>
      <c r="I10" s="92"/>
      <c r="J10" s="92"/>
      <c r="K10" s="92"/>
      <c r="L10" s="92"/>
      <c r="M10" s="92"/>
    </row>
    <row r="11" spans="1:14" x14ac:dyDescent="0.25">
      <c r="A11" s="13">
        <v>2018</v>
      </c>
      <c r="B11" s="15">
        <v>633</v>
      </c>
      <c r="C11" s="15">
        <v>816</v>
      </c>
      <c r="D11" s="15">
        <v>836</v>
      </c>
      <c r="E11" s="15">
        <v>915</v>
      </c>
      <c r="F11" s="15">
        <v>912</v>
      </c>
      <c r="G11" s="39">
        <v>882</v>
      </c>
      <c r="H11" s="39">
        <v>918</v>
      </c>
      <c r="I11" s="39">
        <v>962</v>
      </c>
      <c r="J11" s="39">
        <v>967</v>
      </c>
      <c r="K11" s="39">
        <v>831</v>
      </c>
      <c r="N11" s="40"/>
    </row>
    <row r="12" spans="1:14" x14ac:dyDescent="0.25">
      <c r="A12" s="16"/>
      <c r="B12" s="16"/>
      <c r="C12" s="16"/>
      <c r="N12" s="40"/>
    </row>
    <row r="13" spans="1:14" x14ac:dyDescent="0.25">
      <c r="A13" s="16"/>
      <c r="B13" s="16"/>
      <c r="C13" s="16"/>
    </row>
    <row r="14" spans="1:14" x14ac:dyDescent="0.25">
      <c r="A14" s="16"/>
      <c r="B14" s="16"/>
      <c r="C14" s="16"/>
      <c r="D14" s="16"/>
      <c r="E14" s="16"/>
      <c r="F14" s="16"/>
      <c r="G14" s="16"/>
      <c r="H14" s="16"/>
    </row>
    <row r="15" spans="1:14" x14ac:dyDescent="0.25">
      <c r="A15" s="16"/>
      <c r="B15" s="16"/>
      <c r="C15" s="16"/>
      <c r="D15" s="16"/>
      <c r="E15" s="16"/>
      <c r="F15" s="16"/>
      <c r="G15" s="16"/>
      <c r="H15" s="16"/>
    </row>
    <row r="16" spans="1:14" x14ac:dyDescent="0.25">
      <c r="A16" s="16"/>
      <c r="B16" s="16"/>
      <c r="C16" s="16"/>
      <c r="D16" s="16"/>
      <c r="E16" s="16"/>
      <c r="F16" s="16"/>
      <c r="G16" s="16"/>
      <c r="H16" s="16"/>
    </row>
    <row r="17" spans="1:8" x14ac:dyDescent="0.25">
      <c r="A17" s="16"/>
      <c r="B17" s="16"/>
      <c r="C17" s="16"/>
      <c r="D17" s="16"/>
      <c r="E17" s="16"/>
      <c r="F17" s="16"/>
      <c r="G17" s="16"/>
      <c r="H17" s="16"/>
    </row>
    <row r="18" spans="1:8" x14ac:dyDescent="0.25">
      <c r="A18" s="16"/>
      <c r="B18" s="16"/>
      <c r="C18" s="16"/>
      <c r="D18" s="16"/>
      <c r="E18" s="16"/>
      <c r="F18" s="16"/>
      <c r="G18" s="16"/>
      <c r="H18" s="16"/>
    </row>
    <row r="19" spans="1:8" x14ac:dyDescent="0.25">
      <c r="A19" s="16"/>
      <c r="B19" s="16"/>
      <c r="C19" s="16"/>
      <c r="D19" s="16"/>
      <c r="E19" s="16"/>
      <c r="F19" s="16"/>
      <c r="G19" s="16"/>
      <c r="H19" s="16"/>
    </row>
    <row r="20" spans="1:8" x14ac:dyDescent="0.25">
      <c r="A20" s="16"/>
      <c r="B20" s="16"/>
      <c r="C20" s="16"/>
      <c r="D20" s="16"/>
      <c r="E20" s="16"/>
      <c r="F20" s="16"/>
      <c r="G20" s="16"/>
      <c r="H20" s="16"/>
    </row>
    <row r="21" spans="1:8" x14ac:dyDescent="0.25">
      <c r="A21" s="16"/>
      <c r="B21" s="16"/>
      <c r="C21" s="16"/>
      <c r="D21" s="16"/>
      <c r="E21" s="16"/>
      <c r="F21" s="16"/>
      <c r="G21" s="16"/>
      <c r="H21" s="16"/>
    </row>
    <row r="22" spans="1:8" x14ac:dyDescent="0.25">
      <c r="A22" s="16"/>
      <c r="B22" s="16"/>
      <c r="C22" s="16"/>
      <c r="D22" s="16"/>
      <c r="E22" s="16"/>
      <c r="F22" s="16"/>
      <c r="G22" s="16"/>
      <c r="H22" s="16"/>
    </row>
    <row r="23" spans="1:8" x14ac:dyDescent="0.25">
      <c r="A23" s="16"/>
      <c r="B23" s="16"/>
      <c r="C23" s="16"/>
      <c r="D23" s="16"/>
      <c r="E23" s="16"/>
      <c r="F23" s="16"/>
      <c r="G23" s="16"/>
      <c r="H23" s="16"/>
    </row>
    <row r="24" spans="1:8" x14ac:dyDescent="0.25">
      <c r="A24" s="16"/>
      <c r="B24" s="16"/>
      <c r="C24" s="16"/>
      <c r="D24" s="16"/>
      <c r="E24" s="16"/>
      <c r="F24" s="16"/>
      <c r="G24" s="16"/>
      <c r="H24" s="16"/>
    </row>
    <row r="25" spans="1:8" x14ac:dyDescent="0.25">
      <c r="A25" s="16"/>
      <c r="B25" s="16"/>
      <c r="C25" s="16"/>
      <c r="D25" s="16"/>
      <c r="E25" s="16"/>
      <c r="F25" s="16"/>
      <c r="G25" s="16"/>
      <c r="H25" s="16"/>
    </row>
    <row r="26" spans="1:8" x14ac:dyDescent="0.25">
      <c r="A26" s="16"/>
      <c r="B26" s="16"/>
      <c r="C26" s="16"/>
      <c r="D26" s="16"/>
      <c r="E26" s="16"/>
      <c r="F26" s="16"/>
      <c r="G26" s="16"/>
      <c r="H26" s="16"/>
    </row>
    <row r="27" spans="1:8" x14ac:dyDescent="0.25">
      <c r="A27" s="16"/>
      <c r="B27" s="16"/>
      <c r="C27" s="16"/>
      <c r="D27" s="16"/>
      <c r="E27" s="16"/>
      <c r="F27" s="16"/>
      <c r="G27" s="16"/>
      <c r="H27" s="16"/>
    </row>
    <row r="28" spans="1:8" x14ac:dyDescent="0.25">
      <c r="A28" s="16"/>
      <c r="B28" s="16"/>
      <c r="C28" s="16"/>
      <c r="D28" s="16"/>
      <c r="E28" s="16"/>
      <c r="F28" s="16"/>
      <c r="G28" s="16"/>
      <c r="H28" s="16"/>
    </row>
    <row r="29" spans="1:8" x14ac:dyDescent="0.25">
      <c r="A29" s="16"/>
      <c r="B29" s="16"/>
      <c r="C29" s="16"/>
      <c r="D29" s="16"/>
      <c r="E29" s="16"/>
      <c r="F29" s="16"/>
      <c r="G29" s="16"/>
      <c r="H29" s="16"/>
    </row>
    <row r="30" spans="1:8" x14ac:dyDescent="0.25">
      <c r="A30" s="16"/>
      <c r="B30" s="16"/>
      <c r="C30" s="16"/>
      <c r="D30" s="16"/>
      <c r="E30" s="16"/>
      <c r="F30" s="16"/>
      <c r="G30" s="16"/>
      <c r="H30" s="16"/>
    </row>
    <row r="31" spans="1:8" x14ac:dyDescent="0.25">
      <c r="E31" s="16"/>
      <c r="F31" s="16"/>
      <c r="G31" s="16"/>
      <c r="H31" s="16"/>
    </row>
    <row r="32" spans="1:8" x14ac:dyDescent="0.25">
      <c r="E32" s="16"/>
      <c r="F32" s="16"/>
      <c r="G32" s="16"/>
      <c r="H32" s="16"/>
    </row>
  </sheetData>
  <mergeCells count="1">
    <mergeCell ref="B6:L6"/>
  </mergeCell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O60"/>
  <sheetViews>
    <sheetView zoomScale="80" zoomScaleNormal="80" workbookViewId="0">
      <selection activeCell="K29" sqref="K29"/>
    </sheetView>
  </sheetViews>
  <sheetFormatPr baseColWidth="10" defaultRowHeight="11.25" x14ac:dyDescent="0.2"/>
  <cols>
    <col min="1" max="1" width="46.5703125" style="20" customWidth="1"/>
    <col min="2" max="13" width="9.7109375" style="16" customWidth="1"/>
    <col min="14" max="16384" width="11.42578125" style="16"/>
  </cols>
  <sheetData>
    <row r="1" spans="1:13" ht="15" x14ac:dyDescent="0.25">
      <c r="A1" s="2" t="s">
        <v>15</v>
      </c>
    </row>
    <row r="2" spans="1:13" ht="15" x14ac:dyDescent="0.25">
      <c r="A2" s="2" t="s">
        <v>16</v>
      </c>
    </row>
    <row r="3" spans="1:13" ht="15" x14ac:dyDescent="0.25">
      <c r="A3" s="2" t="s">
        <v>17</v>
      </c>
    </row>
    <row r="4" spans="1:13" ht="15" x14ac:dyDescent="0.25">
      <c r="A4" s="2" t="s">
        <v>18</v>
      </c>
    </row>
    <row r="6" spans="1:13" ht="22.5" x14ac:dyDescent="0.2">
      <c r="B6" s="17" t="s">
        <v>38</v>
      </c>
      <c r="C6" s="17" t="s">
        <v>39</v>
      </c>
      <c r="D6" s="17" t="s">
        <v>40</v>
      </c>
      <c r="E6" s="17" t="s">
        <v>41</v>
      </c>
      <c r="F6" s="17" t="s">
        <v>42</v>
      </c>
      <c r="G6" s="17" t="s">
        <v>43</v>
      </c>
      <c r="H6" s="17" t="s">
        <v>44</v>
      </c>
      <c r="I6" s="17" t="s">
        <v>45</v>
      </c>
      <c r="J6" s="17" t="s">
        <v>46</v>
      </c>
      <c r="K6" s="17" t="s">
        <v>47</v>
      </c>
      <c r="L6" s="17" t="s">
        <v>48</v>
      </c>
      <c r="M6" s="17" t="s">
        <v>49</v>
      </c>
    </row>
    <row r="7" spans="1:13" x14ac:dyDescent="0.2">
      <c r="A7" s="21" t="s">
        <v>37</v>
      </c>
      <c r="B7" s="17" t="s">
        <v>50</v>
      </c>
      <c r="C7" s="17" t="s">
        <v>51</v>
      </c>
      <c r="D7" s="17" t="s">
        <v>52</v>
      </c>
      <c r="E7" s="17" t="s">
        <v>53</v>
      </c>
      <c r="F7" s="17" t="s">
        <v>54</v>
      </c>
      <c r="G7" s="17" t="s">
        <v>55</v>
      </c>
      <c r="H7" s="17" t="s">
        <v>56</v>
      </c>
      <c r="I7" s="17" t="s">
        <v>57</v>
      </c>
      <c r="J7" s="17" t="s">
        <v>58</v>
      </c>
      <c r="K7" s="17" t="s">
        <v>59</v>
      </c>
      <c r="L7" s="17" t="s">
        <v>60</v>
      </c>
      <c r="M7" s="17" t="s">
        <v>61</v>
      </c>
    </row>
    <row r="8" spans="1:13" x14ac:dyDescent="0.2">
      <c r="A8" s="22" t="s">
        <v>62</v>
      </c>
      <c r="B8" s="18">
        <v>1280</v>
      </c>
      <c r="C8" s="18">
        <v>911</v>
      </c>
      <c r="D8" s="18">
        <v>601</v>
      </c>
      <c r="E8" s="18">
        <v>534</v>
      </c>
      <c r="F8" s="18">
        <v>373</v>
      </c>
      <c r="G8" s="18">
        <v>382</v>
      </c>
      <c r="H8" s="18">
        <v>526</v>
      </c>
      <c r="I8" s="18">
        <v>559</v>
      </c>
      <c r="J8" s="18">
        <v>597</v>
      </c>
      <c r="K8" s="18">
        <v>668</v>
      </c>
      <c r="L8" s="18">
        <v>584</v>
      </c>
      <c r="M8" s="18">
        <v>490</v>
      </c>
    </row>
    <row r="9" spans="1:13" x14ac:dyDescent="0.2">
      <c r="A9" s="22" t="s">
        <v>63</v>
      </c>
      <c r="B9" s="18">
        <v>94</v>
      </c>
      <c r="C9" s="18">
        <v>72</v>
      </c>
      <c r="D9" s="18">
        <v>63</v>
      </c>
      <c r="E9" s="18">
        <v>71</v>
      </c>
      <c r="F9" s="18">
        <v>147</v>
      </c>
      <c r="G9" s="18">
        <v>113</v>
      </c>
      <c r="H9" s="18">
        <v>96</v>
      </c>
      <c r="I9" s="18">
        <v>47</v>
      </c>
      <c r="J9" s="18">
        <v>77</v>
      </c>
      <c r="K9" s="18">
        <v>34</v>
      </c>
      <c r="L9" s="18">
        <v>23</v>
      </c>
      <c r="M9" s="18">
        <v>5</v>
      </c>
    </row>
    <row r="10" spans="1:13" x14ac:dyDescent="0.2">
      <c r="A10" s="22" t="s">
        <v>64</v>
      </c>
      <c r="B10" s="18">
        <v>60</v>
      </c>
      <c r="C10" s="18">
        <v>110</v>
      </c>
      <c r="D10" s="18">
        <v>81</v>
      </c>
      <c r="E10" s="18">
        <v>62</v>
      </c>
      <c r="F10" s="18">
        <v>57</v>
      </c>
      <c r="G10" s="18">
        <v>33</v>
      </c>
      <c r="H10" s="18">
        <v>77</v>
      </c>
      <c r="I10" s="18">
        <v>38</v>
      </c>
      <c r="J10" s="18">
        <v>48</v>
      </c>
      <c r="K10" s="18">
        <v>50</v>
      </c>
      <c r="L10" s="18">
        <v>51</v>
      </c>
      <c r="M10" s="18">
        <v>81</v>
      </c>
    </row>
    <row r="11" spans="1:13" x14ac:dyDescent="0.2">
      <c r="A11" s="22" t="s">
        <v>65</v>
      </c>
      <c r="B11" s="18">
        <v>1</v>
      </c>
      <c r="C11" s="18">
        <v>2</v>
      </c>
      <c r="D11" s="18">
        <v>3</v>
      </c>
      <c r="E11" s="18">
        <v>8</v>
      </c>
      <c r="F11" s="18">
        <v>16</v>
      </c>
      <c r="G11" s="18">
        <v>19</v>
      </c>
      <c r="H11" s="18">
        <v>21</v>
      </c>
      <c r="I11" s="18">
        <v>1</v>
      </c>
      <c r="J11" s="18">
        <v>4</v>
      </c>
      <c r="K11" s="18">
        <v>3</v>
      </c>
      <c r="L11" s="18">
        <v>5</v>
      </c>
      <c r="M11" s="18">
        <v>0</v>
      </c>
    </row>
    <row r="12" spans="1:13" x14ac:dyDescent="0.2">
      <c r="A12" s="22" t="s">
        <v>67</v>
      </c>
      <c r="B12" s="18">
        <f>15+4</f>
        <v>19</v>
      </c>
      <c r="C12" s="18">
        <f>12+7+4+2</f>
        <v>25</v>
      </c>
      <c r="D12" s="18">
        <f>13+2+2+1</f>
        <v>18</v>
      </c>
      <c r="E12" s="18">
        <f>17+6+4+3</f>
        <v>30</v>
      </c>
      <c r="F12" s="18">
        <f>6+1+1+1</f>
        <v>9</v>
      </c>
      <c r="G12" s="18">
        <f>6+3+1</f>
        <v>10</v>
      </c>
      <c r="H12" s="18">
        <f>8+6+5+3+2</f>
        <v>24</v>
      </c>
      <c r="I12" s="18">
        <f>16+15+2</f>
        <v>33</v>
      </c>
      <c r="J12" s="18">
        <f>11+10+6+6+5</f>
        <v>38</v>
      </c>
      <c r="K12" s="18">
        <f>11+5+3+3+1</f>
        <v>23</v>
      </c>
      <c r="L12" s="18">
        <f>13+11+1+1</f>
        <v>26</v>
      </c>
      <c r="M12" s="18">
        <f>8+2+1</f>
        <v>11</v>
      </c>
    </row>
    <row r="13" spans="1:13" x14ac:dyDescent="0.2">
      <c r="A13" s="22" t="s">
        <v>66</v>
      </c>
      <c r="B13" s="18">
        <f t="shared" ref="B13:C13" si="0">B14-(B8+B9+B10+B11+B12)</f>
        <v>62</v>
      </c>
      <c r="C13" s="18">
        <f t="shared" si="0"/>
        <v>90</v>
      </c>
      <c r="D13" s="18">
        <f t="shared" ref="D13:M13" si="1">D14-(D8+D9+D10+D11+D12)</f>
        <v>58</v>
      </c>
      <c r="E13" s="18">
        <f t="shared" si="1"/>
        <v>147</v>
      </c>
      <c r="F13" s="18">
        <f t="shared" si="1"/>
        <v>66</v>
      </c>
      <c r="G13" s="18">
        <f t="shared" si="1"/>
        <v>80</v>
      </c>
      <c r="H13" s="18">
        <f t="shared" si="1"/>
        <v>63</v>
      </c>
      <c r="I13" s="18">
        <f t="shared" si="1"/>
        <v>99</v>
      </c>
      <c r="J13" s="18">
        <f t="shared" si="1"/>
        <v>76</v>
      </c>
      <c r="K13" s="18">
        <f t="shared" si="1"/>
        <v>52</v>
      </c>
      <c r="L13" s="18">
        <f t="shared" si="1"/>
        <v>56</v>
      </c>
      <c r="M13" s="18">
        <f t="shared" si="1"/>
        <v>42</v>
      </c>
    </row>
    <row r="14" spans="1:13" x14ac:dyDescent="0.2">
      <c r="A14" s="24" t="s">
        <v>68</v>
      </c>
      <c r="B14" s="19">
        <v>1516</v>
      </c>
      <c r="C14" s="19">
        <v>1210</v>
      </c>
      <c r="D14" s="19">
        <v>824</v>
      </c>
      <c r="E14" s="19">
        <v>852</v>
      </c>
      <c r="F14" s="19">
        <v>668</v>
      </c>
      <c r="G14" s="19">
        <v>637</v>
      </c>
      <c r="H14" s="19">
        <v>807</v>
      </c>
      <c r="I14" s="19">
        <v>777</v>
      </c>
      <c r="J14" s="19">
        <v>840</v>
      </c>
      <c r="K14" s="19">
        <v>830</v>
      </c>
      <c r="L14" s="19">
        <v>745</v>
      </c>
      <c r="M14" s="19">
        <v>629</v>
      </c>
    </row>
    <row r="15" spans="1:13" x14ac:dyDescent="0.2">
      <c r="A15" s="23"/>
    </row>
    <row r="16" spans="1:13" x14ac:dyDescent="0.2">
      <c r="A16" s="23"/>
    </row>
    <row r="18" spans="1:15" ht="22.5" x14ac:dyDescent="0.2">
      <c r="B18" s="14" t="s">
        <v>69</v>
      </c>
      <c r="C18" s="14" t="s">
        <v>70</v>
      </c>
      <c r="D18" s="14" t="s">
        <v>71</v>
      </c>
      <c r="E18" s="14" t="s">
        <v>72</v>
      </c>
      <c r="F18" s="14" t="s">
        <v>162</v>
      </c>
      <c r="G18" s="14" t="s">
        <v>163</v>
      </c>
      <c r="H18" s="14" t="s">
        <v>175</v>
      </c>
      <c r="I18" s="14" t="s">
        <v>345</v>
      </c>
      <c r="J18" s="14" t="s">
        <v>382</v>
      </c>
      <c r="K18" s="14" t="s">
        <v>407</v>
      </c>
      <c r="L18" s="14"/>
      <c r="M18" s="14"/>
    </row>
    <row r="19" spans="1:15" x14ac:dyDescent="0.2">
      <c r="A19" s="21" t="s">
        <v>37</v>
      </c>
      <c r="B19" s="17" t="s">
        <v>50</v>
      </c>
      <c r="C19" s="17" t="s">
        <v>51</v>
      </c>
      <c r="D19" s="17" t="s">
        <v>52</v>
      </c>
      <c r="E19" s="17" t="s">
        <v>53</v>
      </c>
      <c r="F19" s="17" t="s">
        <v>54</v>
      </c>
      <c r="G19" s="17" t="s">
        <v>55</v>
      </c>
      <c r="H19" s="17" t="s">
        <v>56</v>
      </c>
      <c r="I19" s="17" t="s">
        <v>57</v>
      </c>
      <c r="J19" s="17" t="s">
        <v>58</v>
      </c>
      <c r="K19" s="17" t="s">
        <v>59</v>
      </c>
      <c r="L19" s="17" t="s">
        <v>60</v>
      </c>
      <c r="M19" s="17" t="s">
        <v>61</v>
      </c>
    </row>
    <row r="20" spans="1:15" x14ac:dyDescent="0.2">
      <c r="A20" s="22" t="s">
        <v>62</v>
      </c>
      <c r="B20" s="18">
        <v>527</v>
      </c>
      <c r="C20" s="18">
        <v>988</v>
      </c>
      <c r="D20" s="18">
        <v>596</v>
      </c>
      <c r="E20" s="18">
        <v>605</v>
      </c>
      <c r="F20" s="18">
        <v>660</v>
      </c>
      <c r="G20" s="18">
        <v>710</v>
      </c>
      <c r="H20" s="18">
        <v>716</v>
      </c>
      <c r="I20" s="18">
        <v>703</v>
      </c>
      <c r="J20" s="18">
        <v>782</v>
      </c>
      <c r="K20" s="18">
        <v>658</v>
      </c>
      <c r="L20" s="18"/>
      <c r="M20" s="18"/>
    </row>
    <row r="21" spans="1:15" x14ac:dyDescent="0.2">
      <c r="A21" s="22" t="s">
        <v>63</v>
      </c>
      <c r="B21" s="18">
        <v>0</v>
      </c>
      <c r="C21" s="18">
        <v>31</v>
      </c>
      <c r="D21" s="18">
        <v>35</v>
      </c>
      <c r="E21" s="18">
        <v>28</v>
      </c>
      <c r="F21" s="18">
        <v>47</v>
      </c>
      <c r="G21" s="18">
        <v>33</v>
      </c>
      <c r="H21" s="18">
        <v>22</v>
      </c>
      <c r="I21" s="18">
        <v>16</v>
      </c>
      <c r="J21" s="18">
        <v>37</v>
      </c>
      <c r="K21" s="18">
        <v>19</v>
      </c>
      <c r="L21" s="18"/>
      <c r="M21" s="18"/>
    </row>
    <row r="22" spans="1:15" x14ac:dyDescent="0.2">
      <c r="A22" s="22" t="s">
        <v>64</v>
      </c>
      <c r="B22" s="18">
        <v>61</v>
      </c>
      <c r="C22" s="18">
        <v>165</v>
      </c>
      <c r="D22" s="18">
        <v>65</v>
      </c>
      <c r="E22" s="18">
        <v>40</v>
      </c>
      <c r="F22" s="18">
        <v>51</v>
      </c>
      <c r="G22" s="18">
        <v>50</v>
      </c>
      <c r="H22" s="18">
        <v>41</v>
      </c>
      <c r="I22" s="18">
        <v>32</v>
      </c>
      <c r="J22" s="18">
        <v>22</v>
      </c>
      <c r="K22" s="18">
        <v>14</v>
      </c>
      <c r="L22" s="18"/>
      <c r="M22" s="18"/>
    </row>
    <row r="23" spans="1:15" x14ac:dyDescent="0.2">
      <c r="A23" s="22" t="s">
        <v>65</v>
      </c>
      <c r="B23" s="18">
        <v>0</v>
      </c>
      <c r="C23" s="18">
        <v>0</v>
      </c>
      <c r="D23" s="18"/>
      <c r="E23" s="18">
        <v>1</v>
      </c>
      <c r="F23" s="18">
        <v>4</v>
      </c>
      <c r="G23" s="18">
        <v>1</v>
      </c>
      <c r="H23" s="18">
        <v>3</v>
      </c>
      <c r="I23" s="18">
        <v>0</v>
      </c>
      <c r="J23" s="18">
        <v>9</v>
      </c>
      <c r="K23" s="18">
        <v>0</v>
      </c>
      <c r="L23" s="18"/>
      <c r="M23" s="18"/>
    </row>
    <row r="24" spans="1:15" x14ac:dyDescent="0.2">
      <c r="A24" s="22" t="s">
        <v>67</v>
      </c>
      <c r="B24" s="18">
        <f>6+2+1+1+1</f>
        <v>11</v>
      </c>
      <c r="C24" s="18">
        <f>16+8+7+3+1</f>
        <v>35</v>
      </c>
      <c r="D24" s="18">
        <f>8+8+4</f>
        <v>20</v>
      </c>
      <c r="E24" s="18">
        <f>8+4</f>
        <v>12</v>
      </c>
      <c r="F24" s="18">
        <f>7+7+4+1+1</f>
        <v>20</v>
      </c>
      <c r="G24" s="18">
        <v>16</v>
      </c>
      <c r="H24" s="18">
        <v>39</v>
      </c>
      <c r="I24" s="18">
        <v>55</v>
      </c>
      <c r="J24" s="18">
        <v>30</v>
      </c>
      <c r="K24" s="18">
        <v>20</v>
      </c>
      <c r="L24" s="18"/>
      <c r="M24" s="18"/>
    </row>
    <row r="25" spans="1:15" x14ac:dyDescent="0.2">
      <c r="A25" s="22" t="s">
        <v>66</v>
      </c>
      <c r="B25" s="18">
        <f>B26-(B20+B21+B22+B23+B24)</f>
        <v>34</v>
      </c>
      <c r="C25" s="18">
        <f t="shared" ref="C25:F25" si="2">C26-(C20+C21+C22+C23+C24)</f>
        <v>133</v>
      </c>
      <c r="D25" s="18">
        <f t="shared" si="2"/>
        <v>88</v>
      </c>
      <c r="E25" s="18">
        <f t="shared" si="2"/>
        <v>99</v>
      </c>
      <c r="F25" s="18">
        <f t="shared" si="2"/>
        <v>78</v>
      </c>
      <c r="G25" s="18">
        <f>882-810</f>
        <v>72</v>
      </c>
      <c r="H25" s="18">
        <v>97</v>
      </c>
      <c r="I25" s="18">
        <v>156</v>
      </c>
      <c r="J25" s="18">
        <v>87</v>
      </c>
      <c r="K25" s="18">
        <v>120</v>
      </c>
      <c r="L25" s="18"/>
      <c r="M25" s="18"/>
    </row>
    <row r="26" spans="1:15" x14ac:dyDescent="0.2">
      <c r="A26" s="25" t="s">
        <v>73</v>
      </c>
      <c r="B26" s="26">
        <v>633</v>
      </c>
      <c r="C26" s="26">
        <v>1352</v>
      </c>
      <c r="D26" s="26">
        <v>804</v>
      </c>
      <c r="E26" s="26">
        <v>785</v>
      </c>
      <c r="F26" s="26">
        <v>860</v>
      </c>
      <c r="G26" s="26">
        <v>882</v>
      </c>
      <c r="H26" s="26">
        <f>SUM(H20:H25)</f>
        <v>918</v>
      </c>
      <c r="I26" s="281">
        <f>SUM(I20:I25)</f>
        <v>962</v>
      </c>
      <c r="J26" s="281">
        <f t="shared" ref="J26:M26" si="3">SUM(J20:J25)</f>
        <v>967</v>
      </c>
      <c r="K26" s="281">
        <f t="shared" si="3"/>
        <v>831</v>
      </c>
      <c r="L26" s="281">
        <f t="shared" si="3"/>
        <v>0</v>
      </c>
      <c r="M26" s="281">
        <f t="shared" si="3"/>
        <v>0</v>
      </c>
    </row>
    <row r="27" spans="1:15" ht="15" x14ac:dyDescent="0.25">
      <c r="J27" s="260"/>
    </row>
    <row r="28" spans="1:15" ht="15" x14ac:dyDescent="0.25">
      <c r="A28" s="260"/>
      <c r="B28" s="260"/>
      <c r="C28" s="260"/>
      <c r="E28" s="260"/>
      <c r="F28" s="260"/>
      <c r="K28" s="16">
        <f>658/831</f>
        <v>0.79181708784596871</v>
      </c>
      <c r="N28" s="260"/>
      <c r="O28" s="260"/>
    </row>
    <row r="29" spans="1:15" ht="15" x14ac:dyDescent="0.25">
      <c r="A29" s="261"/>
      <c r="B29" s="261"/>
      <c r="C29" s="260"/>
      <c r="E29" s="260"/>
      <c r="F29" s="260"/>
      <c r="N29" s="260"/>
      <c r="O29" s="260"/>
    </row>
    <row r="30" spans="1:15" ht="15" x14ac:dyDescent="0.25">
      <c r="A30" s="260"/>
      <c r="B30" s="260"/>
      <c r="C30" s="260"/>
      <c r="N30" s="261"/>
      <c r="O30" s="261"/>
    </row>
    <row r="31" spans="1:15" ht="15" x14ac:dyDescent="0.25">
      <c r="A31" s="16"/>
      <c r="C31" s="260"/>
      <c r="N31" s="261"/>
      <c r="O31" s="261"/>
    </row>
    <row r="32" spans="1:15" ht="15" x14ac:dyDescent="0.25">
      <c r="A32" s="16"/>
      <c r="C32" s="260"/>
      <c r="N32" s="261"/>
      <c r="O32" s="261"/>
    </row>
    <row r="33" spans="1:15" ht="15" x14ac:dyDescent="0.25">
      <c r="A33" s="261"/>
      <c r="B33" s="261"/>
      <c r="C33" s="260"/>
      <c r="N33" s="261"/>
      <c r="O33" s="261"/>
    </row>
    <row r="34" spans="1:15" ht="15" x14ac:dyDescent="0.25">
      <c r="A34" s="261"/>
      <c r="B34" s="261"/>
      <c r="C34" s="260"/>
      <c r="N34" s="261"/>
      <c r="O34" s="261"/>
    </row>
    <row r="35" spans="1:15" ht="15" x14ac:dyDescent="0.25">
      <c r="A35" s="261"/>
      <c r="B35" s="261"/>
      <c r="C35" s="260"/>
      <c r="N35" s="261"/>
      <c r="O35" s="261"/>
    </row>
    <row r="36" spans="1:15" ht="15" x14ac:dyDescent="0.25">
      <c r="A36" s="261"/>
      <c r="B36" s="261"/>
      <c r="C36" s="260"/>
      <c r="N36" s="261"/>
      <c r="O36" s="261"/>
    </row>
    <row r="37" spans="1:15" ht="15" x14ac:dyDescent="0.25">
      <c r="A37" s="261"/>
      <c r="B37" s="261"/>
      <c r="C37" s="260"/>
      <c r="N37" s="261"/>
      <c r="O37" s="261"/>
    </row>
    <row r="38" spans="1:15" ht="15" x14ac:dyDescent="0.25">
      <c r="A38" s="16"/>
      <c r="C38" s="260"/>
      <c r="N38" s="261"/>
      <c r="O38" s="261"/>
    </row>
    <row r="39" spans="1:15" ht="15" x14ac:dyDescent="0.25">
      <c r="A39" s="16"/>
      <c r="C39" s="260"/>
      <c r="N39" s="261"/>
      <c r="O39" s="261"/>
    </row>
    <row r="40" spans="1:15" ht="15" x14ac:dyDescent="0.25">
      <c r="A40" s="16"/>
      <c r="C40" s="260"/>
      <c r="N40" s="261"/>
      <c r="O40" s="261"/>
    </row>
    <row r="41" spans="1:15" ht="15" x14ac:dyDescent="0.25">
      <c r="A41" s="16"/>
      <c r="C41" s="260"/>
      <c r="N41" s="261"/>
      <c r="O41" s="261"/>
    </row>
    <row r="42" spans="1:15" ht="15" x14ac:dyDescent="0.25">
      <c r="A42" s="16"/>
      <c r="C42" s="260"/>
      <c r="N42" s="261"/>
      <c r="O42" s="261"/>
    </row>
    <row r="43" spans="1:15" ht="15" x14ac:dyDescent="0.25">
      <c r="A43" s="16"/>
      <c r="C43" s="260"/>
      <c r="N43" s="261"/>
      <c r="O43" s="261"/>
    </row>
    <row r="44" spans="1:15" ht="15" x14ac:dyDescent="0.25">
      <c r="A44" s="16"/>
      <c r="C44" s="260"/>
      <c r="N44" s="261"/>
      <c r="O44" s="261"/>
    </row>
    <row r="45" spans="1:15" ht="15" x14ac:dyDescent="0.25">
      <c r="A45" s="16"/>
      <c r="C45" s="260"/>
      <c r="N45" s="261"/>
      <c r="O45" s="261"/>
    </row>
    <row r="46" spans="1:15" ht="15" x14ac:dyDescent="0.25">
      <c r="A46" s="16"/>
      <c r="C46" s="260"/>
      <c r="N46" s="261"/>
      <c r="O46" s="261"/>
    </row>
    <row r="47" spans="1:15" ht="15" x14ac:dyDescent="0.25">
      <c r="A47" s="16"/>
      <c r="C47" s="260"/>
      <c r="N47" s="261"/>
      <c r="O47" s="261"/>
    </row>
    <row r="48" spans="1:15" ht="15" x14ac:dyDescent="0.25">
      <c r="A48" s="16"/>
      <c r="C48" s="260"/>
      <c r="N48" s="261"/>
      <c r="O48" s="261"/>
    </row>
    <row r="49" spans="1:15" ht="15" x14ac:dyDescent="0.25">
      <c r="A49" s="16"/>
      <c r="C49" s="260"/>
      <c r="N49" s="261"/>
      <c r="O49" s="261"/>
    </row>
    <row r="50" spans="1:15" ht="15" x14ac:dyDescent="0.25">
      <c r="A50" s="16"/>
      <c r="C50" s="260"/>
      <c r="N50" s="261"/>
      <c r="O50" s="261"/>
    </row>
    <row r="51" spans="1:15" x14ac:dyDescent="0.2">
      <c r="A51" s="16"/>
      <c r="N51" s="261"/>
      <c r="O51" s="261"/>
    </row>
    <row r="52" spans="1:15" x14ac:dyDescent="0.2">
      <c r="A52" s="16"/>
      <c r="N52" s="261"/>
      <c r="O52" s="261"/>
    </row>
    <row r="53" spans="1:15" x14ac:dyDescent="0.2">
      <c r="A53" s="16"/>
    </row>
    <row r="54" spans="1:15" x14ac:dyDescent="0.2">
      <c r="A54" s="16"/>
      <c r="C54" s="261"/>
    </row>
    <row r="55" spans="1:15" x14ac:dyDescent="0.2">
      <c r="A55" s="16"/>
      <c r="C55" s="261"/>
    </row>
    <row r="56" spans="1:15" x14ac:dyDescent="0.2">
      <c r="A56" s="16"/>
      <c r="C56" s="261"/>
    </row>
    <row r="57" spans="1:15" x14ac:dyDescent="0.2">
      <c r="A57" s="16"/>
      <c r="C57" s="261"/>
    </row>
    <row r="58" spans="1:15" x14ac:dyDescent="0.2">
      <c r="A58" s="16"/>
    </row>
    <row r="59" spans="1:15" x14ac:dyDescent="0.2">
      <c r="A59" s="16"/>
    </row>
    <row r="60" spans="1:15" x14ac:dyDescent="0.2">
      <c r="A60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N69"/>
  <sheetViews>
    <sheetView topLeftCell="AG1" zoomScale="80" zoomScaleNormal="80" workbookViewId="0">
      <selection activeCell="AS8" sqref="AS8"/>
    </sheetView>
  </sheetViews>
  <sheetFormatPr baseColWidth="10" defaultRowHeight="15" x14ac:dyDescent="0.25"/>
  <cols>
    <col min="1" max="1" width="5.7109375" customWidth="1"/>
    <col min="2" max="2" width="47.7109375" customWidth="1"/>
    <col min="3" max="3" width="7.7109375" customWidth="1"/>
    <col min="5" max="5" width="8.7109375" customWidth="1"/>
    <col min="6" max="6" width="3.140625" customWidth="1"/>
    <col min="7" max="7" width="4.28515625" customWidth="1"/>
    <col min="8" max="8" width="49.5703125" customWidth="1"/>
    <col min="12" max="12" width="2.42578125" customWidth="1"/>
    <col min="13" max="13" width="3.85546875" bestFit="1" customWidth="1"/>
    <col min="14" max="14" width="55.5703125" customWidth="1"/>
    <col min="18" max="18" width="1.5703125" customWidth="1"/>
    <col min="19" max="19" width="61.140625" customWidth="1"/>
    <col min="23" max="24" width="3.140625" customWidth="1"/>
    <col min="25" max="25" width="75.28515625" customWidth="1"/>
    <col min="26" max="26" width="11" bestFit="1" customWidth="1"/>
    <col min="27" max="27" width="8.7109375" bestFit="1" customWidth="1"/>
    <col min="28" max="28" width="7.7109375" bestFit="1" customWidth="1"/>
    <col min="29" max="29" width="6.7109375" customWidth="1"/>
    <col min="30" max="30" width="4.85546875" bestFit="1" customWidth="1"/>
    <col min="31" max="31" width="70.140625" customWidth="1"/>
    <col min="32" max="32" width="11" bestFit="1" customWidth="1"/>
    <col min="33" max="33" width="8.7109375" bestFit="1" customWidth="1"/>
    <col min="34" max="34" width="7.7109375" bestFit="1" customWidth="1"/>
    <col min="36" max="36" width="4.85546875" bestFit="1" customWidth="1"/>
    <col min="37" max="37" width="67.85546875" customWidth="1"/>
    <col min="38" max="38" width="11" bestFit="1" customWidth="1"/>
    <col min="39" max="39" width="8.7109375" bestFit="1" customWidth="1"/>
  </cols>
  <sheetData>
    <row r="1" spans="1:40" x14ac:dyDescent="0.25">
      <c r="A1" s="12" t="s">
        <v>15</v>
      </c>
    </row>
    <row r="2" spans="1:40" x14ac:dyDescent="0.25">
      <c r="A2" s="12" t="s">
        <v>16</v>
      </c>
    </row>
    <row r="3" spans="1:40" x14ac:dyDescent="0.25">
      <c r="A3" s="12" t="s">
        <v>17</v>
      </c>
    </row>
    <row r="4" spans="1:40" ht="15.75" thickBot="1" x14ac:dyDescent="0.3">
      <c r="A4" s="12" t="s">
        <v>18</v>
      </c>
    </row>
    <row r="5" spans="1:40" ht="23.25" x14ac:dyDescent="0.35">
      <c r="A5" s="12"/>
      <c r="S5" s="768" t="s">
        <v>156</v>
      </c>
      <c r="T5" s="768"/>
      <c r="U5" s="768"/>
      <c r="V5" s="41"/>
      <c r="X5" s="260"/>
      <c r="Y5" s="773" t="s">
        <v>156</v>
      </c>
      <c r="Z5" s="774"/>
      <c r="AA5" s="775"/>
      <c r="AB5" s="262"/>
      <c r="AD5" s="260"/>
      <c r="AE5" s="773" t="s">
        <v>156</v>
      </c>
      <c r="AF5" s="774"/>
      <c r="AG5" s="775"/>
      <c r="AH5" s="262"/>
      <c r="AJ5" s="260"/>
      <c r="AK5" s="768" t="s">
        <v>156</v>
      </c>
      <c r="AL5" s="768"/>
      <c r="AM5" s="768"/>
      <c r="AN5" s="262"/>
    </row>
    <row r="6" spans="1:40" ht="20.25" customHeight="1" thickBot="1" x14ac:dyDescent="0.4">
      <c r="B6" s="768" t="s">
        <v>156</v>
      </c>
      <c r="C6" s="768"/>
      <c r="D6" s="768"/>
      <c r="G6" s="40"/>
      <c r="H6" s="768" t="s">
        <v>156</v>
      </c>
      <c r="I6" s="768"/>
      <c r="J6" s="768"/>
      <c r="K6" s="41"/>
      <c r="L6" s="40"/>
      <c r="M6" s="40"/>
      <c r="N6" s="768" t="s">
        <v>156</v>
      </c>
      <c r="O6" s="768"/>
      <c r="P6" s="768"/>
      <c r="Q6" s="41"/>
      <c r="S6" s="769">
        <v>43298</v>
      </c>
      <c r="T6" s="769"/>
      <c r="U6" s="769"/>
      <c r="V6" s="40"/>
      <c r="X6" s="260"/>
      <c r="Y6" s="776">
        <v>43333</v>
      </c>
      <c r="Z6" s="777"/>
      <c r="AA6" s="778"/>
      <c r="AB6" s="260"/>
      <c r="AD6" s="260"/>
      <c r="AE6" s="776">
        <v>43363</v>
      </c>
      <c r="AF6" s="777"/>
      <c r="AG6" s="778"/>
      <c r="AH6" s="260"/>
      <c r="AJ6" s="260"/>
      <c r="AK6" s="769">
        <v>43403</v>
      </c>
      <c r="AL6" s="769"/>
      <c r="AM6" s="769"/>
      <c r="AN6" s="260"/>
    </row>
    <row r="7" spans="1:40" ht="20.25" customHeight="1" thickBot="1" x14ac:dyDescent="0.4">
      <c r="B7" s="769">
        <v>43235</v>
      </c>
      <c r="C7" s="769"/>
      <c r="D7" s="769"/>
      <c r="G7" s="40"/>
      <c r="H7" s="769">
        <v>43256</v>
      </c>
      <c r="I7" s="769"/>
      <c r="J7" s="769"/>
      <c r="K7" s="40"/>
      <c r="L7" s="40"/>
      <c r="M7" s="40"/>
      <c r="N7" s="769">
        <v>43277</v>
      </c>
      <c r="O7" s="769"/>
      <c r="P7" s="769"/>
      <c r="Q7" s="40"/>
      <c r="S7" s="91"/>
      <c r="T7" s="91"/>
      <c r="U7" s="91"/>
      <c r="V7" s="40"/>
      <c r="X7" s="260"/>
      <c r="Y7" s="263"/>
      <c r="Z7" s="263"/>
      <c r="AA7" s="263"/>
      <c r="AB7" s="260"/>
      <c r="AD7" s="260"/>
      <c r="AE7" s="289"/>
      <c r="AF7" s="289"/>
      <c r="AG7" s="289"/>
      <c r="AH7" s="260"/>
      <c r="AJ7" s="260"/>
      <c r="AK7" s="574"/>
      <c r="AL7" s="574"/>
      <c r="AM7" s="574"/>
      <c r="AN7" s="260"/>
    </row>
    <row r="8" spans="1:40" ht="60.75" thickTop="1" x14ac:dyDescent="0.25">
      <c r="B8" s="28" t="s">
        <v>83</v>
      </c>
      <c r="C8" s="29" t="s">
        <v>84</v>
      </c>
      <c r="D8" s="30" t="s">
        <v>85</v>
      </c>
      <c r="G8" s="40"/>
      <c r="H8" s="28" t="s">
        <v>83</v>
      </c>
      <c r="I8" s="29" t="s">
        <v>84</v>
      </c>
      <c r="J8" s="30" t="s">
        <v>85</v>
      </c>
      <c r="K8" s="40"/>
      <c r="L8" s="40"/>
      <c r="M8" s="40"/>
      <c r="N8" s="80" t="s">
        <v>83</v>
      </c>
      <c r="O8" s="81" t="s">
        <v>84</v>
      </c>
      <c r="P8" s="82" t="s">
        <v>85</v>
      </c>
      <c r="Q8" s="40"/>
      <c r="S8" s="28" t="s">
        <v>83</v>
      </c>
      <c r="T8" s="29" t="s">
        <v>84</v>
      </c>
      <c r="U8" s="30" t="s">
        <v>85</v>
      </c>
      <c r="V8" s="40"/>
      <c r="X8" s="260"/>
      <c r="Y8" s="264" t="s">
        <v>83</v>
      </c>
      <c r="Z8" s="265" t="s">
        <v>84</v>
      </c>
      <c r="AA8" s="266" t="s">
        <v>85</v>
      </c>
      <c r="AB8" s="260"/>
      <c r="AD8" s="260"/>
      <c r="AE8" s="264" t="s">
        <v>83</v>
      </c>
      <c r="AF8" s="265" t="s">
        <v>84</v>
      </c>
      <c r="AG8" s="266" t="s">
        <v>85</v>
      </c>
      <c r="AH8" s="260"/>
      <c r="AJ8" s="260"/>
      <c r="AK8" s="264" t="s">
        <v>83</v>
      </c>
      <c r="AL8" s="265" t="s">
        <v>84</v>
      </c>
      <c r="AM8" s="266" t="s">
        <v>85</v>
      </c>
      <c r="AN8" s="260"/>
    </row>
    <row r="9" spans="1:40" ht="15.75" thickBot="1" x14ac:dyDescent="0.3">
      <c r="B9" s="31" t="s">
        <v>74</v>
      </c>
      <c r="C9" s="32">
        <f>SUM(C10:C69)</f>
        <v>858</v>
      </c>
      <c r="D9" s="33">
        <f>C9/$C$9</f>
        <v>1</v>
      </c>
      <c r="G9" s="40"/>
      <c r="H9" s="31" t="s">
        <v>74</v>
      </c>
      <c r="I9" s="32">
        <v>882</v>
      </c>
      <c r="J9" s="33">
        <v>1</v>
      </c>
      <c r="K9" s="40"/>
      <c r="L9" s="40"/>
      <c r="M9" s="40"/>
      <c r="N9" s="83" t="s">
        <v>74</v>
      </c>
      <c r="O9" s="84">
        <f>SUM(O10:O67)</f>
        <v>867</v>
      </c>
      <c r="P9" s="85">
        <f>O9/O9</f>
        <v>1</v>
      </c>
      <c r="Q9" s="40"/>
      <c r="S9" s="93" t="s">
        <v>74</v>
      </c>
      <c r="T9" s="32">
        <v>918</v>
      </c>
      <c r="U9" s="33">
        <v>1</v>
      </c>
      <c r="V9" s="40"/>
      <c r="X9" s="260"/>
      <c r="Y9" s="267" t="s">
        <v>74</v>
      </c>
      <c r="Z9" s="268">
        <v>962</v>
      </c>
      <c r="AA9" s="269">
        <v>1</v>
      </c>
      <c r="AB9" s="260"/>
      <c r="AD9" s="260"/>
      <c r="AE9" s="267" t="s">
        <v>74</v>
      </c>
      <c r="AF9" s="268">
        <v>967</v>
      </c>
      <c r="AG9" s="269">
        <f>AF9/AF9</f>
        <v>1</v>
      </c>
      <c r="AH9" s="260"/>
      <c r="AJ9" s="260"/>
      <c r="AK9" s="267" t="s">
        <v>74</v>
      </c>
      <c r="AL9" s="268">
        <v>831</v>
      </c>
      <c r="AM9" s="269">
        <f>AL9/$AL$9</f>
        <v>1</v>
      </c>
      <c r="AN9" s="260"/>
    </row>
    <row r="10" spans="1:40" ht="15.75" x14ac:dyDescent="0.25">
      <c r="A10" t="s">
        <v>86</v>
      </c>
      <c r="B10" s="34" t="s">
        <v>87</v>
      </c>
      <c r="C10" s="35">
        <v>210</v>
      </c>
      <c r="D10" s="33">
        <f t="shared" ref="D10:D69" si="0">C10/$C$9</f>
        <v>0.24475524475524477</v>
      </c>
      <c r="E10" s="765">
        <f>SUM(D10,D11,D12)</f>
        <v>0.4358974358974359</v>
      </c>
      <c r="G10" s="40" t="s">
        <v>86</v>
      </c>
      <c r="H10" s="34" t="s">
        <v>87</v>
      </c>
      <c r="I10" s="35">
        <v>230</v>
      </c>
      <c r="J10" s="33">
        <v>0.26077097505668934</v>
      </c>
      <c r="K10" s="765">
        <f>SUM(J10:J12)</f>
        <v>0.49433106575963714</v>
      </c>
      <c r="L10" s="40"/>
      <c r="M10" s="40" t="s">
        <v>86</v>
      </c>
      <c r="N10" s="89" t="s">
        <v>87</v>
      </c>
      <c r="O10" s="90">
        <v>222</v>
      </c>
      <c r="P10" s="85">
        <f>O10/$O$9</f>
        <v>0.25605536332179929</v>
      </c>
      <c r="Q10" s="770">
        <f>SUM(P10,P11,P12)</f>
        <v>0.45674740484429061</v>
      </c>
      <c r="S10" s="94" t="s">
        <v>87</v>
      </c>
      <c r="T10" s="95">
        <v>244</v>
      </c>
      <c r="U10" s="96">
        <v>0.26579520697167758</v>
      </c>
      <c r="V10" s="765">
        <v>0.46405228758169931</v>
      </c>
      <c r="X10" s="270" t="s">
        <v>86</v>
      </c>
      <c r="Y10" s="271" t="s">
        <v>87</v>
      </c>
      <c r="Z10" s="272">
        <v>221</v>
      </c>
      <c r="AA10" s="273">
        <v>0.22972972972972974</v>
      </c>
      <c r="AB10" s="765">
        <v>0.43451143451143454</v>
      </c>
      <c r="AD10" s="270" t="s">
        <v>86</v>
      </c>
      <c r="AE10" s="271" t="s">
        <v>87</v>
      </c>
      <c r="AF10" s="272">
        <v>200</v>
      </c>
      <c r="AG10" s="269">
        <f>AF10/$AF$9</f>
        <v>0.20682523267838676</v>
      </c>
      <c r="AH10" s="770">
        <f>+AG10+AG11+AG12</f>
        <v>0.40227507755946224</v>
      </c>
      <c r="AJ10" s="270" t="s">
        <v>86</v>
      </c>
      <c r="AK10" s="271" t="s">
        <v>91</v>
      </c>
      <c r="AL10" s="272">
        <v>275</v>
      </c>
      <c r="AM10" s="269">
        <f t="shared" ref="AM10:AM65" si="1">AL10/$AL$9</f>
        <v>0.33092659446450062</v>
      </c>
      <c r="AN10" s="765">
        <f>+AM10+AM11+AM12</f>
        <v>0.542719614921781</v>
      </c>
    </row>
    <row r="11" spans="1:40" ht="15.75" x14ac:dyDescent="0.25">
      <c r="A11" t="s">
        <v>88</v>
      </c>
      <c r="B11" s="34" t="s">
        <v>89</v>
      </c>
      <c r="C11" s="35">
        <v>89</v>
      </c>
      <c r="D11" s="33">
        <f t="shared" si="0"/>
        <v>0.10372960372960373</v>
      </c>
      <c r="E11" s="766"/>
      <c r="G11" s="40" t="s">
        <v>88</v>
      </c>
      <c r="H11" s="34" t="s">
        <v>91</v>
      </c>
      <c r="I11" s="35">
        <v>125</v>
      </c>
      <c r="J11" s="33">
        <v>0.14172335600907029</v>
      </c>
      <c r="K11" s="766"/>
      <c r="L11" s="40"/>
      <c r="M11" s="40" t="s">
        <v>88</v>
      </c>
      <c r="N11" s="89" t="s">
        <v>97</v>
      </c>
      <c r="O11" s="90">
        <v>90</v>
      </c>
      <c r="P11" s="85">
        <f t="shared" ref="P11:P67" si="2">O11/$O$9</f>
        <v>0.10380622837370242</v>
      </c>
      <c r="Q11" s="771"/>
      <c r="S11" s="94" t="s">
        <v>91</v>
      </c>
      <c r="T11" s="95">
        <v>115</v>
      </c>
      <c r="U11" s="96">
        <v>0.12527233115468409</v>
      </c>
      <c r="V11" s="766"/>
      <c r="X11" s="270" t="s">
        <v>88</v>
      </c>
      <c r="Y11" s="271" t="s">
        <v>99</v>
      </c>
      <c r="Z11" s="272">
        <v>103</v>
      </c>
      <c r="AA11" s="273">
        <v>0.10706860706860707</v>
      </c>
      <c r="AB11" s="766"/>
      <c r="AD11" s="270" t="s">
        <v>88</v>
      </c>
      <c r="AE11" s="271" t="s">
        <v>91</v>
      </c>
      <c r="AF11" s="272">
        <v>108</v>
      </c>
      <c r="AG11" s="269">
        <f t="shared" ref="AG11:AG68" si="3">AF11/$AF$9</f>
        <v>0.11168562564632885</v>
      </c>
      <c r="AH11" s="771"/>
      <c r="AJ11" s="270" t="s">
        <v>88</v>
      </c>
      <c r="AK11" s="271" t="s">
        <v>87</v>
      </c>
      <c r="AL11" s="272">
        <v>89</v>
      </c>
      <c r="AM11" s="269">
        <f t="shared" si="1"/>
        <v>0.10709987966305656</v>
      </c>
      <c r="AN11" s="766"/>
    </row>
    <row r="12" spans="1:40" ht="16.5" thickBot="1" x14ac:dyDescent="0.3">
      <c r="A12" t="s">
        <v>90</v>
      </c>
      <c r="B12" s="34" t="s">
        <v>91</v>
      </c>
      <c r="C12" s="35">
        <v>75</v>
      </c>
      <c r="D12" s="33">
        <f t="shared" si="0"/>
        <v>8.7412587412587409E-2</v>
      </c>
      <c r="E12" s="767"/>
      <c r="G12" s="40" t="s">
        <v>90</v>
      </c>
      <c r="H12" s="34" t="s">
        <v>89</v>
      </c>
      <c r="I12" s="35">
        <v>81</v>
      </c>
      <c r="J12" s="33">
        <v>9.1836734693877556E-2</v>
      </c>
      <c r="K12" s="767"/>
      <c r="L12" s="40"/>
      <c r="M12" s="40" t="s">
        <v>90</v>
      </c>
      <c r="N12" s="89" t="s">
        <v>89</v>
      </c>
      <c r="O12" s="90">
        <v>84</v>
      </c>
      <c r="P12" s="85">
        <f t="shared" si="2"/>
        <v>9.6885813148788927E-2</v>
      </c>
      <c r="Q12" s="772"/>
      <c r="S12" s="94" t="s">
        <v>99</v>
      </c>
      <c r="T12" s="95">
        <v>67</v>
      </c>
      <c r="U12" s="96">
        <v>7.2984749455337686E-2</v>
      </c>
      <c r="V12" s="767"/>
      <c r="X12" s="270" t="s">
        <v>90</v>
      </c>
      <c r="Y12" s="271" t="s">
        <v>93</v>
      </c>
      <c r="Z12" s="272">
        <v>94</v>
      </c>
      <c r="AA12" s="273">
        <v>9.7713097713097719E-2</v>
      </c>
      <c r="AB12" s="767"/>
      <c r="AD12" s="270" t="s">
        <v>90</v>
      </c>
      <c r="AE12" s="271" t="s">
        <v>99</v>
      </c>
      <c r="AF12" s="272">
        <v>81</v>
      </c>
      <c r="AG12" s="269">
        <f t="shared" si="3"/>
        <v>8.376421923474664E-2</v>
      </c>
      <c r="AH12" s="772"/>
      <c r="AJ12" s="270" t="s">
        <v>90</v>
      </c>
      <c r="AK12" s="271" t="s">
        <v>93</v>
      </c>
      <c r="AL12" s="272">
        <v>87</v>
      </c>
      <c r="AM12" s="269">
        <f t="shared" si="1"/>
        <v>0.10469314079422383</v>
      </c>
      <c r="AN12" s="767"/>
    </row>
    <row r="13" spans="1:40" ht="15.75" x14ac:dyDescent="0.25">
      <c r="A13" t="s">
        <v>92</v>
      </c>
      <c r="B13" s="36" t="s">
        <v>93</v>
      </c>
      <c r="C13" s="11">
        <v>55</v>
      </c>
      <c r="D13" s="33">
        <f t="shared" si="0"/>
        <v>6.4102564102564097E-2</v>
      </c>
      <c r="G13" s="40" t="s">
        <v>92</v>
      </c>
      <c r="H13" s="36" t="s">
        <v>93</v>
      </c>
      <c r="I13" s="11">
        <v>41</v>
      </c>
      <c r="J13" s="33">
        <v>4.6485260770975055E-2</v>
      </c>
      <c r="K13" s="40"/>
      <c r="L13" s="40"/>
      <c r="M13" s="40" t="s">
        <v>92</v>
      </c>
      <c r="N13" s="79" t="s">
        <v>93</v>
      </c>
      <c r="O13" s="67">
        <v>51</v>
      </c>
      <c r="P13" s="85">
        <f t="shared" si="2"/>
        <v>5.8823529411764705E-2</v>
      </c>
      <c r="Q13" s="40"/>
      <c r="S13" s="97" t="s">
        <v>89</v>
      </c>
      <c r="T13" s="98">
        <v>59</v>
      </c>
      <c r="U13" s="33">
        <v>6.4270152505446626E-2</v>
      </c>
      <c r="V13" s="40"/>
      <c r="X13" s="270" t="s">
        <v>92</v>
      </c>
      <c r="Y13" s="274" t="s">
        <v>89</v>
      </c>
      <c r="Z13" s="275">
        <v>66</v>
      </c>
      <c r="AA13" s="269">
        <v>6.8607068607068611E-2</v>
      </c>
      <c r="AB13" s="260"/>
      <c r="AD13" s="270" t="s">
        <v>92</v>
      </c>
      <c r="AE13" s="274" t="s">
        <v>89</v>
      </c>
      <c r="AF13" s="275">
        <v>68</v>
      </c>
      <c r="AG13" s="269">
        <f t="shared" si="3"/>
        <v>7.0320579110651496E-2</v>
      </c>
      <c r="AH13" s="260"/>
      <c r="AJ13" s="270" t="s">
        <v>92</v>
      </c>
      <c r="AK13" s="274" t="s">
        <v>99</v>
      </c>
      <c r="AL13" s="275">
        <v>46</v>
      </c>
      <c r="AM13" s="269">
        <f t="shared" si="1"/>
        <v>5.5354993983152828E-2</v>
      </c>
      <c r="AN13" s="260"/>
    </row>
    <row r="14" spans="1:40" ht="15.75" x14ac:dyDescent="0.25">
      <c r="A14" t="s">
        <v>94</v>
      </c>
      <c r="B14" s="36" t="s">
        <v>95</v>
      </c>
      <c r="C14" s="11">
        <v>41</v>
      </c>
      <c r="D14" s="33">
        <f t="shared" si="0"/>
        <v>4.7785547785547784E-2</v>
      </c>
      <c r="G14" s="40" t="s">
        <v>94</v>
      </c>
      <c r="H14" s="36" t="s">
        <v>101</v>
      </c>
      <c r="I14" s="11">
        <v>40</v>
      </c>
      <c r="J14" s="33">
        <v>4.5351473922902494E-2</v>
      </c>
      <c r="K14" s="40"/>
      <c r="L14" s="40"/>
      <c r="M14" s="40" t="s">
        <v>94</v>
      </c>
      <c r="N14" s="79" t="s">
        <v>99</v>
      </c>
      <c r="O14" s="67">
        <v>47</v>
      </c>
      <c r="P14" s="85">
        <f t="shared" si="2"/>
        <v>5.4209919261822379E-2</v>
      </c>
      <c r="Q14" s="40"/>
      <c r="S14" s="97" t="s">
        <v>93</v>
      </c>
      <c r="T14" s="98">
        <v>56</v>
      </c>
      <c r="U14" s="33">
        <v>6.1002178649237473E-2</v>
      </c>
      <c r="V14" s="40"/>
      <c r="X14" s="270" t="s">
        <v>94</v>
      </c>
      <c r="Y14" s="274" t="s">
        <v>95</v>
      </c>
      <c r="Z14" s="275">
        <v>49</v>
      </c>
      <c r="AA14" s="269">
        <v>5.0935550935550938E-2</v>
      </c>
      <c r="AB14" s="260"/>
      <c r="AD14" s="270" t="s">
        <v>94</v>
      </c>
      <c r="AE14" s="274" t="s">
        <v>140</v>
      </c>
      <c r="AF14" s="275">
        <v>50</v>
      </c>
      <c r="AG14" s="269">
        <f t="shared" si="3"/>
        <v>5.170630816959669E-2</v>
      </c>
      <c r="AH14" s="260"/>
      <c r="AJ14" s="270" t="s">
        <v>94</v>
      </c>
      <c r="AK14" s="274" t="s">
        <v>140</v>
      </c>
      <c r="AL14" s="275">
        <v>29</v>
      </c>
      <c r="AM14" s="269">
        <f t="shared" si="1"/>
        <v>3.4897713598074608E-2</v>
      </c>
      <c r="AN14" s="260"/>
    </row>
    <row r="15" spans="1:40" ht="15.75" x14ac:dyDescent="0.25">
      <c r="A15" t="s">
        <v>96</v>
      </c>
      <c r="B15" s="36" t="s">
        <v>97</v>
      </c>
      <c r="C15" s="11">
        <v>34</v>
      </c>
      <c r="D15" s="33">
        <f t="shared" si="0"/>
        <v>3.9627039627039624E-2</v>
      </c>
      <c r="G15" s="40" t="s">
        <v>96</v>
      </c>
      <c r="H15" s="36" t="s">
        <v>99</v>
      </c>
      <c r="I15" s="11">
        <v>31</v>
      </c>
      <c r="J15" s="33">
        <v>3.5147392290249435E-2</v>
      </c>
      <c r="K15" s="40"/>
      <c r="L15" s="40"/>
      <c r="M15" s="40" t="s">
        <v>96</v>
      </c>
      <c r="N15" s="79" t="s">
        <v>101</v>
      </c>
      <c r="O15" s="67">
        <v>47</v>
      </c>
      <c r="P15" s="85">
        <f t="shared" si="2"/>
        <v>5.4209919261822379E-2</v>
      </c>
      <c r="Q15" s="40"/>
      <c r="S15" s="97" t="s">
        <v>95</v>
      </c>
      <c r="T15" s="98">
        <v>40</v>
      </c>
      <c r="U15" s="33">
        <v>4.357298474945534E-2</v>
      </c>
      <c r="V15" s="40"/>
      <c r="X15" s="270" t="s">
        <v>96</v>
      </c>
      <c r="Y15" s="274" t="s">
        <v>91</v>
      </c>
      <c r="Z15" s="275">
        <v>46</v>
      </c>
      <c r="AA15" s="269">
        <v>4.781704781704782E-2</v>
      </c>
      <c r="AB15" s="260"/>
      <c r="AD15" s="270" t="s">
        <v>96</v>
      </c>
      <c r="AE15" s="274" t="s">
        <v>93</v>
      </c>
      <c r="AF15" s="275">
        <v>49</v>
      </c>
      <c r="AG15" s="269">
        <f t="shared" si="3"/>
        <v>5.0672182006204755E-2</v>
      </c>
      <c r="AH15" s="260"/>
      <c r="AJ15" s="270" t="s">
        <v>96</v>
      </c>
      <c r="AK15" s="274" t="s">
        <v>89</v>
      </c>
      <c r="AL15" s="275">
        <v>27</v>
      </c>
      <c r="AM15" s="269">
        <f t="shared" si="1"/>
        <v>3.2490974729241874E-2</v>
      </c>
      <c r="AN15" s="260"/>
    </row>
    <row r="16" spans="1:40" ht="15.75" x14ac:dyDescent="0.25">
      <c r="A16" t="s">
        <v>98</v>
      </c>
      <c r="B16" s="36" t="s">
        <v>99</v>
      </c>
      <c r="C16" s="11">
        <v>34</v>
      </c>
      <c r="D16" s="33">
        <f t="shared" si="0"/>
        <v>3.9627039627039624E-2</v>
      </c>
      <c r="G16" s="40" t="s">
        <v>98</v>
      </c>
      <c r="H16" s="36" t="s">
        <v>97</v>
      </c>
      <c r="I16" s="11">
        <v>29</v>
      </c>
      <c r="J16" s="33">
        <v>3.2879818594104306E-2</v>
      </c>
      <c r="K16" s="40"/>
      <c r="L16" s="40"/>
      <c r="M16" s="40" t="s">
        <v>98</v>
      </c>
      <c r="N16" s="79" t="s">
        <v>109</v>
      </c>
      <c r="O16" s="67">
        <v>35</v>
      </c>
      <c r="P16" s="85">
        <f t="shared" si="2"/>
        <v>4.0369088811995385E-2</v>
      </c>
      <c r="Q16" s="40"/>
      <c r="S16" s="97" t="s">
        <v>101</v>
      </c>
      <c r="T16" s="98">
        <v>36</v>
      </c>
      <c r="U16" s="33">
        <v>3.9215686274509803E-2</v>
      </c>
      <c r="V16" s="40"/>
      <c r="X16" s="270" t="s">
        <v>98</v>
      </c>
      <c r="Y16" s="274" t="s">
        <v>101</v>
      </c>
      <c r="Z16" s="275">
        <v>43</v>
      </c>
      <c r="AA16" s="269">
        <v>4.4698544698544701E-2</v>
      </c>
      <c r="AB16" s="259"/>
      <c r="AD16" s="270" t="s">
        <v>98</v>
      </c>
      <c r="AE16" s="274" t="s">
        <v>101</v>
      </c>
      <c r="AF16" s="275">
        <v>43</v>
      </c>
      <c r="AG16" s="269">
        <f t="shared" si="3"/>
        <v>4.4467425025853151E-2</v>
      </c>
      <c r="AH16" s="260"/>
      <c r="AJ16" s="270" t="s">
        <v>98</v>
      </c>
      <c r="AK16" s="274" t="s">
        <v>120</v>
      </c>
      <c r="AL16" s="275">
        <v>26</v>
      </c>
      <c r="AM16" s="269">
        <f t="shared" si="1"/>
        <v>3.1287605294825514E-2</v>
      </c>
      <c r="AN16" s="260"/>
    </row>
    <row r="17" spans="1:40" ht="15.75" x14ac:dyDescent="0.25">
      <c r="A17" t="s">
        <v>100</v>
      </c>
      <c r="B17" s="36" t="s">
        <v>101</v>
      </c>
      <c r="C17" s="11">
        <v>33</v>
      </c>
      <c r="D17" s="33">
        <f t="shared" si="0"/>
        <v>3.8461538461538464E-2</v>
      </c>
      <c r="G17" s="40" t="s">
        <v>100</v>
      </c>
      <c r="H17" s="36" t="s">
        <v>95</v>
      </c>
      <c r="I17" s="11">
        <v>22</v>
      </c>
      <c r="J17" s="33">
        <v>2.4943310657596373E-2</v>
      </c>
      <c r="K17" s="40"/>
      <c r="L17" s="40"/>
      <c r="M17" s="40" t="s">
        <v>100</v>
      </c>
      <c r="N17" s="79" t="s">
        <v>105</v>
      </c>
      <c r="O17" s="67">
        <v>27</v>
      </c>
      <c r="P17" s="85">
        <f t="shared" si="2"/>
        <v>3.1141868512110725E-2</v>
      </c>
      <c r="Q17" s="40"/>
      <c r="S17" s="97" t="s">
        <v>105</v>
      </c>
      <c r="T17" s="98">
        <v>21</v>
      </c>
      <c r="U17" s="33">
        <v>2.2875816993464051E-2</v>
      </c>
      <c r="V17" s="40"/>
      <c r="X17" s="270" t="s">
        <v>100</v>
      </c>
      <c r="Y17" s="274" t="s">
        <v>97</v>
      </c>
      <c r="Z17" s="275">
        <v>27</v>
      </c>
      <c r="AA17" s="269">
        <v>2.8066528066528068E-2</v>
      </c>
      <c r="AB17" s="259"/>
      <c r="AD17" s="270" t="s">
        <v>100</v>
      </c>
      <c r="AE17" s="274" t="s">
        <v>97</v>
      </c>
      <c r="AF17" s="275">
        <v>33</v>
      </c>
      <c r="AG17" s="269">
        <f t="shared" si="3"/>
        <v>3.4126163391933813E-2</v>
      </c>
      <c r="AH17" s="260"/>
      <c r="AJ17" s="270" t="s">
        <v>100</v>
      </c>
      <c r="AK17" s="274" t="s">
        <v>101</v>
      </c>
      <c r="AL17" s="275">
        <v>25</v>
      </c>
      <c r="AM17" s="269">
        <f t="shared" si="1"/>
        <v>3.0084235860409144E-2</v>
      </c>
      <c r="AN17" s="260"/>
    </row>
    <row r="18" spans="1:40" ht="15.75" x14ac:dyDescent="0.25">
      <c r="A18" t="s">
        <v>102</v>
      </c>
      <c r="B18" s="36" t="s">
        <v>103</v>
      </c>
      <c r="C18" s="11">
        <v>22</v>
      </c>
      <c r="D18" s="33">
        <f t="shared" si="0"/>
        <v>2.564102564102564E-2</v>
      </c>
      <c r="G18" s="40" t="s">
        <v>102</v>
      </c>
      <c r="H18" s="36" t="s">
        <v>103</v>
      </c>
      <c r="I18" s="11">
        <v>22</v>
      </c>
      <c r="J18" s="33">
        <v>2.4943310657596373E-2</v>
      </c>
      <c r="K18" s="40"/>
      <c r="L18" s="40"/>
      <c r="M18" s="40" t="s">
        <v>102</v>
      </c>
      <c r="N18" s="79" t="s">
        <v>95</v>
      </c>
      <c r="O18" s="67">
        <v>21</v>
      </c>
      <c r="P18" s="85">
        <f t="shared" si="2"/>
        <v>2.4221453287197232E-2</v>
      </c>
      <c r="Q18" s="40"/>
      <c r="S18" s="97" t="s">
        <v>97</v>
      </c>
      <c r="T18" s="98">
        <v>20</v>
      </c>
      <c r="U18" s="33">
        <v>2.178649237472767E-2</v>
      </c>
      <c r="V18" s="40"/>
      <c r="X18" s="270" t="s">
        <v>102</v>
      </c>
      <c r="Y18" s="274" t="s">
        <v>118</v>
      </c>
      <c r="Z18" s="275">
        <v>27</v>
      </c>
      <c r="AA18" s="269">
        <v>2.8066528066528068E-2</v>
      </c>
      <c r="AB18" s="259"/>
      <c r="AD18" s="270" t="s">
        <v>102</v>
      </c>
      <c r="AE18" s="274" t="s">
        <v>95</v>
      </c>
      <c r="AF18" s="275">
        <v>29</v>
      </c>
      <c r="AG18" s="269">
        <f t="shared" si="3"/>
        <v>2.9989658738366079E-2</v>
      </c>
      <c r="AH18" s="260"/>
      <c r="AJ18" s="270" t="s">
        <v>102</v>
      </c>
      <c r="AK18" s="274" t="s">
        <v>123</v>
      </c>
      <c r="AL18" s="275">
        <v>19</v>
      </c>
      <c r="AM18" s="269">
        <f t="shared" si="1"/>
        <v>2.2864019253910951E-2</v>
      </c>
      <c r="AN18" s="260"/>
    </row>
    <row r="19" spans="1:40" ht="15.75" x14ac:dyDescent="0.25">
      <c r="A19" t="s">
        <v>104</v>
      </c>
      <c r="B19" s="36" t="s">
        <v>105</v>
      </c>
      <c r="C19" s="11">
        <v>20</v>
      </c>
      <c r="D19" s="33">
        <f t="shared" si="0"/>
        <v>2.3310023310023312E-2</v>
      </c>
      <c r="G19" s="40" t="s">
        <v>104</v>
      </c>
      <c r="H19" s="36" t="s">
        <v>109</v>
      </c>
      <c r="I19" s="11">
        <v>21</v>
      </c>
      <c r="J19" s="33">
        <v>2.3809523809523808E-2</v>
      </c>
      <c r="K19" s="40"/>
      <c r="L19" s="40"/>
      <c r="M19" s="40" t="s">
        <v>104</v>
      </c>
      <c r="N19" s="79" t="s">
        <v>103</v>
      </c>
      <c r="O19" s="67">
        <v>21</v>
      </c>
      <c r="P19" s="85">
        <f t="shared" si="2"/>
        <v>2.4221453287197232E-2</v>
      </c>
      <c r="Q19" s="40"/>
      <c r="S19" s="97" t="s">
        <v>106</v>
      </c>
      <c r="T19" s="98">
        <v>20</v>
      </c>
      <c r="U19" s="33">
        <v>2.178649237472767E-2</v>
      </c>
      <c r="V19" s="40"/>
      <c r="X19" s="270" t="s">
        <v>104</v>
      </c>
      <c r="Y19" s="274" t="s">
        <v>140</v>
      </c>
      <c r="Z19" s="275">
        <v>20</v>
      </c>
      <c r="AA19" s="269">
        <v>2.0790020790020791E-2</v>
      </c>
      <c r="AB19" s="259"/>
      <c r="AD19" s="270" t="s">
        <v>104</v>
      </c>
      <c r="AE19" s="274" t="s">
        <v>103</v>
      </c>
      <c r="AF19" s="275">
        <v>26</v>
      </c>
      <c r="AG19" s="269">
        <f t="shared" si="3"/>
        <v>2.688728024819028E-2</v>
      </c>
      <c r="AH19" s="260"/>
      <c r="AJ19" s="270" t="s">
        <v>104</v>
      </c>
      <c r="AK19" s="274" t="s">
        <v>95</v>
      </c>
      <c r="AL19" s="275">
        <v>16</v>
      </c>
      <c r="AM19" s="269">
        <f t="shared" si="1"/>
        <v>1.9253910950661854E-2</v>
      </c>
      <c r="AN19" s="260"/>
    </row>
    <row r="20" spans="1:40" x14ac:dyDescent="0.25">
      <c r="B20" s="37" t="s">
        <v>106</v>
      </c>
      <c r="C20" s="38">
        <v>17</v>
      </c>
      <c r="D20" s="33">
        <f t="shared" si="0"/>
        <v>1.9813519813519812E-2</v>
      </c>
      <c r="G20" s="40"/>
      <c r="H20" s="37" t="s">
        <v>105</v>
      </c>
      <c r="I20" s="38">
        <v>18</v>
      </c>
      <c r="J20" s="33">
        <v>2.0408163265306121E-2</v>
      </c>
      <c r="K20" s="40"/>
      <c r="L20" s="40"/>
      <c r="M20" s="40"/>
      <c r="N20" s="86" t="s">
        <v>107</v>
      </c>
      <c r="O20" s="87">
        <v>18</v>
      </c>
      <c r="P20" s="85">
        <f t="shared" si="2"/>
        <v>2.0761245674740483E-2</v>
      </c>
      <c r="Q20" s="40"/>
      <c r="S20" s="37" t="s">
        <v>145</v>
      </c>
      <c r="T20" s="38">
        <v>18</v>
      </c>
      <c r="U20" s="33">
        <v>1.9607843137254902E-2</v>
      </c>
      <c r="V20" s="40"/>
      <c r="X20" s="260"/>
      <c r="Y20" s="276" t="s">
        <v>103</v>
      </c>
      <c r="Z20" s="277">
        <v>18</v>
      </c>
      <c r="AA20" s="269">
        <v>1.8711018711018712E-2</v>
      </c>
      <c r="AB20" s="259"/>
      <c r="AD20" s="260"/>
      <c r="AE20" s="276" t="s">
        <v>106</v>
      </c>
      <c r="AF20" s="277">
        <v>24</v>
      </c>
      <c r="AG20" s="269">
        <f t="shared" si="3"/>
        <v>2.481902792140641E-2</v>
      </c>
      <c r="AH20" s="260"/>
      <c r="AJ20" s="260"/>
      <c r="AK20" s="276" t="s">
        <v>103</v>
      </c>
      <c r="AL20" s="277">
        <v>16</v>
      </c>
      <c r="AM20" s="269">
        <f t="shared" si="1"/>
        <v>1.9253910950661854E-2</v>
      </c>
      <c r="AN20" s="260"/>
    </row>
    <row r="21" spans="1:40" x14ac:dyDescent="0.25">
      <c r="B21" s="37" t="s">
        <v>107</v>
      </c>
      <c r="C21" s="38">
        <v>16</v>
      </c>
      <c r="D21" s="33">
        <f t="shared" si="0"/>
        <v>1.8648018648018648E-2</v>
      </c>
      <c r="G21" s="40"/>
      <c r="H21" s="37" t="s">
        <v>107</v>
      </c>
      <c r="I21" s="38">
        <v>14</v>
      </c>
      <c r="J21" s="33">
        <v>1.5873015873015872E-2</v>
      </c>
      <c r="K21" s="40"/>
      <c r="L21" s="40"/>
      <c r="M21" s="40"/>
      <c r="N21" s="86" t="s">
        <v>115</v>
      </c>
      <c r="O21" s="87">
        <v>17</v>
      </c>
      <c r="P21" s="85">
        <f t="shared" si="2"/>
        <v>1.9607843137254902E-2</v>
      </c>
      <c r="Q21" s="40"/>
      <c r="S21" s="37" t="s">
        <v>118</v>
      </c>
      <c r="T21" s="38">
        <v>18</v>
      </c>
      <c r="U21" s="33">
        <v>1.9607843137254902E-2</v>
      </c>
      <c r="V21" s="40"/>
      <c r="X21" s="260"/>
      <c r="Y21" s="276" t="s">
        <v>108</v>
      </c>
      <c r="Z21" s="277">
        <v>17</v>
      </c>
      <c r="AA21" s="269">
        <v>1.7671517671517672E-2</v>
      </c>
      <c r="AB21" s="259"/>
      <c r="AD21" s="260"/>
      <c r="AE21" s="276" t="s">
        <v>120</v>
      </c>
      <c r="AF21" s="277">
        <v>21</v>
      </c>
      <c r="AG21" s="269">
        <f t="shared" si="3"/>
        <v>2.1716649431230611E-2</v>
      </c>
      <c r="AH21" s="260"/>
      <c r="AJ21" s="260"/>
      <c r="AK21" s="276" t="s">
        <v>108</v>
      </c>
      <c r="AL21" s="277">
        <v>13</v>
      </c>
      <c r="AM21" s="269">
        <f t="shared" si="1"/>
        <v>1.5643802647412757E-2</v>
      </c>
      <c r="AN21" s="260"/>
    </row>
    <row r="22" spans="1:40" x14ac:dyDescent="0.25">
      <c r="B22" s="37" t="s">
        <v>108</v>
      </c>
      <c r="C22" s="38">
        <v>15</v>
      </c>
      <c r="D22" s="33">
        <f t="shared" si="0"/>
        <v>1.7482517482517484E-2</v>
      </c>
      <c r="G22" s="40"/>
      <c r="H22" s="37" t="s">
        <v>118</v>
      </c>
      <c r="I22" s="38">
        <v>13</v>
      </c>
      <c r="J22" s="33">
        <v>1.4739229024943311E-2</v>
      </c>
      <c r="K22" s="40"/>
      <c r="L22" s="40"/>
      <c r="M22" s="40"/>
      <c r="N22" s="86" t="s">
        <v>120</v>
      </c>
      <c r="O22" s="87">
        <v>17</v>
      </c>
      <c r="P22" s="85">
        <f t="shared" si="2"/>
        <v>1.9607843137254902E-2</v>
      </c>
      <c r="Q22" s="40"/>
      <c r="S22" s="37" t="s">
        <v>103</v>
      </c>
      <c r="T22" s="38">
        <v>15</v>
      </c>
      <c r="U22" s="33">
        <v>1.6339869281045753E-2</v>
      </c>
      <c r="V22" s="40"/>
      <c r="X22" s="260"/>
      <c r="Y22" s="276" t="s">
        <v>106</v>
      </c>
      <c r="Z22" s="277">
        <v>15</v>
      </c>
      <c r="AA22" s="269">
        <v>1.5592515592515593E-2</v>
      </c>
      <c r="AB22" s="259"/>
      <c r="AD22" s="260"/>
      <c r="AE22" s="276" t="s">
        <v>118</v>
      </c>
      <c r="AF22" s="277">
        <v>16</v>
      </c>
      <c r="AG22" s="269">
        <f t="shared" si="3"/>
        <v>1.6546018614270942E-2</v>
      </c>
      <c r="AH22" s="260"/>
      <c r="AJ22" s="260"/>
      <c r="AK22" s="276" t="s">
        <v>105</v>
      </c>
      <c r="AL22" s="277">
        <v>12</v>
      </c>
      <c r="AM22" s="269">
        <f t="shared" si="1"/>
        <v>1.444043321299639E-2</v>
      </c>
      <c r="AN22" s="260"/>
    </row>
    <row r="23" spans="1:40" x14ac:dyDescent="0.25">
      <c r="B23" s="37" t="s">
        <v>109</v>
      </c>
      <c r="C23" s="38">
        <v>13</v>
      </c>
      <c r="D23" s="33">
        <f t="shared" si="0"/>
        <v>1.5151515151515152E-2</v>
      </c>
      <c r="G23" s="40"/>
      <c r="H23" s="37" t="s">
        <v>112</v>
      </c>
      <c r="I23" s="38">
        <v>12</v>
      </c>
      <c r="J23" s="33">
        <v>1.3605442176870748E-2</v>
      </c>
      <c r="K23" s="40"/>
      <c r="L23" s="40"/>
      <c r="M23" s="40"/>
      <c r="N23" s="86" t="s">
        <v>110</v>
      </c>
      <c r="O23" s="87">
        <v>12</v>
      </c>
      <c r="P23" s="85">
        <f t="shared" si="2"/>
        <v>1.384083044982699E-2</v>
      </c>
      <c r="Q23" s="40"/>
      <c r="S23" s="37" t="s">
        <v>109</v>
      </c>
      <c r="T23" s="38">
        <v>13</v>
      </c>
      <c r="U23" s="33">
        <v>1.4161220043572984E-2</v>
      </c>
      <c r="V23" s="40"/>
      <c r="X23" s="260"/>
      <c r="Y23" s="276" t="s">
        <v>120</v>
      </c>
      <c r="Z23" s="277">
        <v>13</v>
      </c>
      <c r="AA23" s="269">
        <v>1.3513513513513514E-2</v>
      </c>
      <c r="AB23" s="259"/>
      <c r="AD23" s="260"/>
      <c r="AE23" s="276" t="s">
        <v>126</v>
      </c>
      <c r="AF23" s="277">
        <v>14</v>
      </c>
      <c r="AG23" s="269">
        <f t="shared" si="3"/>
        <v>1.4477766287487074E-2</v>
      </c>
      <c r="AH23" s="260"/>
      <c r="AJ23" s="260"/>
      <c r="AK23" s="276" t="s">
        <v>109</v>
      </c>
      <c r="AL23" s="277">
        <v>12</v>
      </c>
      <c r="AM23" s="269">
        <f t="shared" si="1"/>
        <v>1.444043321299639E-2</v>
      </c>
      <c r="AN23" s="260"/>
    </row>
    <row r="24" spans="1:40" x14ac:dyDescent="0.25">
      <c r="B24" s="37" t="s">
        <v>110</v>
      </c>
      <c r="C24" s="38">
        <v>13</v>
      </c>
      <c r="D24" s="33">
        <f t="shared" si="0"/>
        <v>1.5151515151515152E-2</v>
      </c>
      <c r="G24" s="40"/>
      <c r="H24" s="37" t="s">
        <v>125</v>
      </c>
      <c r="I24" s="38">
        <v>11</v>
      </c>
      <c r="J24" s="33">
        <v>1.2471655328798186E-2</v>
      </c>
      <c r="K24" s="40"/>
      <c r="L24" s="40"/>
      <c r="M24" s="40"/>
      <c r="N24" s="86" t="s">
        <v>125</v>
      </c>
      <c r="O24" s="87">
        <v>11</v>
      </c>
      <c r="P24" s="85">
        <f t="shared" si="2"/>
        <v>1.2687427912341407E-2</v>
      </c>
      <c r="Q24" s="40"/>
      <c r="S24" s="37" t="s">
        <v>114</v>
      </c>
      <c r="T24" s="38">
        <v>13</v>
      </c>
      <c r="U24" s="33">
        <v>1.4161220043572984E-2</v>
      </c>
      <c r="V24" s="40"/>
      <c r="X24" s="260"/>
      <c r="Y24" s="276" t="s">
        <v>110</v>
      </c>
      <c r="Z24" s="277">
        <v>12</v>
      </c>
      <c r="AA24" s="269">
        <v>1.2474012474012475E-2</v>
      </c>
      <c r="AB24" s="259"/>
      <c r="AD24" s="260"/>
      <c r="AE24" s="276" t="s">
        <v>108</v>
      </c>
      <c r="AF24" s="277">
        <v>14</v>
      </c>
      <c r="AG24" s="269">
        <f t="shared" si="3"/>
        <v>1.4477766287487074E-2</v>
      </c>
      <c r="AH24" s="260"/>
      <c r="AJ24" s="260"/>
      <c r="AK24" s="276" t="s">
        <v>110</v>
      </c>
      <c r="AL24" s="277">
        <v>10</v>
      </c>
      <c r="AM24" s="269">
        <f t="shared" si="1"/>
        <v>1.2033694344163659E-2</v>
      </c>
      <c r="AN24" s="260"/>
    </row>
    <row r="25" spans="1:40" x14ac:dyDescent="0.25">
      <c r="B25" s="37" t="s">
        <v>111</v>
      </c>
      <c r="C25" s="38">
        <v>13</v>
      </c>
      <c r="D25" s="33">
        <f t="shared" si="0"/>
        <v>1.5151515151515152E-2</v>
      </c>
      <c r="G25" s="40"/>
      <c r="H25" s="37" t="s">
        <v>114</v>
      </c>
      <c r="I25" s="38">
        <v>10</v>
      </c>
      <c r="J25" s="33">
        <v>1.1337868480725623E-2</v>
      </c>
      <c r="K25" s="40"/>
      <c r="L25" s="40"/>
      <c r="M25" s="40"/>
      <c r="N25" s="86" t="s">
        <v>118</v>
      </c>
      <c r="O25" s="87">
        <v>11</v>
      </c>
      <c r="P25" s="85">
        <f t="shared" si="2"/>
        <v>1.2687427912341407E-2</v>
      </c>
      <c r="Q25" s="40"/>
      <c r="S25" s="37" t="s">
        <v>110</v>
      </c>
      <c r="T25" s="38">
        <v>13</v>
      </c>
      <c r="U25" s="33">
        <v>1.4161220043572984E-2</v>
      </c>
      <c r="V25" s="40"/>
      <c r="X25" s="260"/>
      <c r="Y25" s="276" t="s">
        <v>138</v>
      </c>
      <c r="Z25" s="277">
        <v>11</v>
      </c>
      <c r="AA25" s="269">
        <v>1.1434511434511435E-2</v>
      </c>
      <c r="AB25" s="259"/>
      <c r="AD25" s="260"/>
      <c r="AE25" s="276" t="s">
        <v>111</v>
      </c>
      <c r="AF25" s="277">
        <v>14</v>
      </c>
      <c r="AG25" s="269">
        <f t="shared" si="3"/>
        <v>1.4477766287487074E-2</v>
      </c>
      <c r="AH25" s="260"/>
      <c r="AJ25" s="260"/>
      <c r="AK25" s="276" t="s">
        <v>124</v>
      </c>
      <c r="AL25" s="277">
        <v>10</v>
      </c>
      <c r="AM25" s="269">
        <f t="shared" si="1"/>
        <v>1.2033694344163659E-2</v>
      </c>
      <c r="AN25" s="260"/>
    </row>
    <row r="26" spans="1:40" x14ac:dyDescent="0.25">
      <c r="B26" s="37" t="s">
        <v>112</v>
      </c>
      <c r="C26" s="38">
        <v>13</v>
      </c>
      <c r="D26" s="33">
        <f t="shared" si="0"/>
        <v>1.5151515151515152E-2</v>
      </c>
      <c r="G26" s="40"/>
      <c r="H26" s="37" t="s">
        <v>120</v>
      </c>
      <c r="I26" s="38">
        <v>10</v>
      </c>
      <c r="J26" s="33">
        <v>1.1337868480725623E-2</v>
      </c>
      <c r="K26" s="40"/>
      <c r="L26" s="40"/>
      <c r="M26" s="40"/>
      <c r="N26" s="86" t="s">
        <v>114</v>
      </c>
      <c r="O26" s="87">
        <v>9</v>
      </c>
      <c r="P26" s="85">
        <f t="shared" si="2"/>
        <v>1.0380622837370242E-2</v>
      </c>
      <c r="Q26" s="40"/>
      <c r="S26" s="37" t="s">
        <v>117</v>
      </c>
      <c r="T26" s="38">
        <v>13</v>
      </c>
      <c r="U26" s="33">
        <v>1.4161220043572984E-2</v>
      </c>
      <c r="V26" s="40"/>
      <c r="X26" s="260"/>
      <c r="Y26" s="276" t="s">
        <v>128</v>
      </c>
      <c r="Z26" s="277">
        <v>11</v>
      </c>
      <c r="AA26" s="269">
        <v>1.1434511434511435E-2</v>
      </c>
      <c r="AB26" s="259"/>
      <c r="AD26" s="260"/>
      <c r="AE26" s="276" t="s">
        <v>110</v>
      </c>
      <c r="AF26" s="277">
        <v>11</v>
      </c>
      <c r="AG26" s="269">
        <f t="shared" si="3"/>
        <v>1.1375387797311272E-2</v>
      </c>
      <c r="AH26" s="260"/>
      <c r="AJ26" s="260"/>
      <c r="AK26" s="276" t="s">
        <v>116</v>
      </c>
      <c r="AL26" s="277">
        <v>9</v>
      </c>
      <c r="AM26" s="269">
        <f t="shared" si="1"/>
        <v>1.0830324909747292E-2</v>
      </c>
      <c r="AN26" s="260"/>
    </row>
    <row r="27" spans="1:40" x14ac:dyDescent="0.25">
      <c r="B27" s="37" t="s">
        <v>113</v>
      </c>
      <c r="C27" s="38">
        <v>11</v>
      </c>
      <c r="D27" s="33">
        <f t="shared" si="0"/>
        <v>1.282051282051282E-2</v>
      </c>
      <c r="G27" s="40"/>
      <c r="H27" s="37" t="s">
        <v>116</v>
      </c>
      <c r="I27" s="38">
        <v>10</v>
      </c>
      <c r="J27" s="33">
        <v>1.1337868480725623E-2</v>
      </c>
      <c r="K27" s="40"/>
      <c r="L27" s="40"/>
      <c r="M27" s="40"/>
      <c r="N27" s="86" t="s">
        <v>91</v>
      </c>
      <c r="O27" s="87">
        <v>9</v>
      </c>
      <c r="P27" s="85">
        <f t="shared" si="2"/>
        <v>1.0380622837370242E-2</v>
      </c>
      <c r="Q27" s="40"/>
      <c r="S27" s="37" t="s">
        <v>120</v>
      </c>
      <c r="T27" s="38">
        <v>11</v>
      </c>
      <c r="U27" s="33">
        <v>1.1982570806100218E-2</v>
      </c>
      <c r="V27" s="40"/>
      <c r="X27" s="260"/>
      <c r="Y27" s="276" t="s">
        <v>105</v>
      </c>
      <c r="Z27" s="277">
        <v>11</v>
      </c>
      <c r="AA27" s="269">
        <v>1.1434511434511435E-2</v>
      </c>
      <c r="AB27" s="259"/>
      <c r="AD27" s="260"/>
      <c r="AE27" s="276" t="s">
        <v>112</v>
      </c>
      <c r="AF27" s="277">
        <v>9</v>
      </c>
      <c r="AG27" s="269">
        <f t="shared" si="3"/>
        <v>9.3071354705274046E-3</v>
      </c>
      <c r="AH27" s="260"/>
      <c r="AJ27" s="260"/>
      <c r="AK27" s="276" t="s">
        <v>111</v>
      </c>
      <c r="AL27" s="277">
        <v>8</v>
      </c>
      <c r="AM27" s="269">
        <f t="shared" si="1"/>
        <v>9.6269554753309269E-3</v>
      </c>
      <c r="AN27" s="260"/>
    </row>
    <row r="28" spans="1:40" x14ac:dyDescent="0.25">
      <c r="B28" s="36" t="s">
        <v>114</v>
      </c>
      <c r="C28" s="11">
        <v>9</v>
      </c>
      <c r="D28" s="33">
        <f t="shared" si="0"/>
        <v>1.048951048951049E-2</v>
      </c>
      <c r="G28" s="40"/>
      <c r="H28" s="36" t="s">
        <v>123</v>
      </c>
      <c r="I28" s="11">
        <v>9</v>
      </c>
      <c r="J28" s="33">
        <v>1.020408163265306E-2</v>
      </c>
      <c r="K28" s="40"/>
      <c r="L28" s="40"/>
      <c r="M28" s="40"/>
      <c r="N28" s="79" t="s">
        <v>126</v>
      </c>
      <c r="O28" s="67">
        <v>8</v>
      </c>
      <c r="P28" s="85">
        <f t="shared" si="2"/>
        <v>9.22722029988466E-3</v>
      </c>
      <c r="Q28" s="40"/>
      <c r="S28" s="36" t="s">
        <v>140</v>
      </c>
      <c r="T28" s="11">
        <v>9</v>
      </c>
      <c r="U28" s="33">
        <v>9.8039215686274508E-3</v>
      </c>
      <c r="V28" s="40"/>
      <c r="X28" s="260"/>
      <c r="Y28" s="278" t="s">
        <v>176</v>
      </c>
      <c r="Z28" s="279">
        <v>10</v>
      </c>
      <c r="AA28" s="269">
        <v>1.0395010395010396E-2</v>
      </c>
      <c r="AB28" s="259"/>
      <c r="AD28" s="260"/>
      <c r="AE28" s="278" t="s">
        <v>105</v>
      </c>
      <c r="AF28" s="279">
        <v>9</v>
      </c>
      <c r="AG28" s="269">
        <f t="shared" si="3"/>
        <v>9.3071354705274046E-3</v>
      </c>
      <c r="AH28" s="260"/>
      <c r="AJ28" s="260"/>
      <c r="AK28" s="278" t="s">
        <v>137</v>
      </c>
      <c r="AL28" s="279">
        <v>8</v>
      </c>
      <c r="AM28" s="269">
        <f t="shared" si="1"/>
        <v>9.6269554753309269E-3</v>
      </c>
      <c r="AN28" s="260"/>
    </row>
    <row r="29" spans="1:40" x14ac:dyDescent="0.25">
      <c r="B29" s="36" t="s">
        <v>115</v>
      </c>
      <c r="C29" s="11">
        <v>8</v>
      </c>
      <c r="D29" s="33">
        <f t="shared" si="0"/>
        <v>9.324009324009324E-3</v>
      </c>
      <c r="G29" s="40"/>
      <c r="H29" s="36" t="s">
        <v>126</v>
      </c>
      <c r="I29" s="11">
        <v>9</v>
      </c>
      <c r="J29" s="33">
        <v>1.020408163265306E-2</v>
      </c>
      <c r="K29" s="40"/>
      <c r="L29" s="40"/>
      <c r="M29" s="40"/>
      <c r="N29" s="79" t="s">
        <v>111</v>
      </c>
      <c r="O29" s="67">
        <v>8</v>
      </c>
      <c r="P29" s="85">
        <f t="shared" si="2"/>
        <v>9.22722029988466E-3</v>
      </c>
      <c r="Q29" s="40"/>
      <c r="S29" s="36" t="s">
        <v>126</v>
      </c>
      <c r="T29" s="11">
        <v>9</v>
      </c>
      <c r="U29" s="33">
        <v>9.8039215686274508E-3</v>
      </c>
      <c r="V29" s="40"/>
      <c r="X29" s="260"/>
      <c r="Y29" s="278" t="s">
        <v>114</v>
      </c>
      <c r="Z29" s="279">
        <v>10</v>
      </c>
      <c r="AA29" s="269">
        <v>1.0395010395010396E-2</v>
      </c>
      <c r="AB29" s="259"/>
      <c r="AD29" s="260"/>
      <c r="AE29" s="278" t="s">
        <v>114</v>
      </c>
      <c r="AF29" s="279">
        <v>9</v>
      </c>
      <c r="AG29" s="269">
        <f t="shared" si="3"/>
        <v>9.3071354705274046E-3</v>
      </c>
      <c r="AH29" s="260"/>
      <c r="AJ29" s="260"/>
      <c r="AK29" s="278" t="s">
        <v>118</v>
      </c>
      <c r="AL29" s="279">
        <v>8</v>
      </c>
      <c r="AM29" s="269">
        <f t="shared" si="1"/>
        <v>9.6269554753309269E-3</v>
      </c>
      <c r="AN29" s="260"/>
    </row>
    <row r="30" spans="1:40" x14ac:dyDescent="0.25">
      <c r="B30" s="36" t="s">
        <v>116</v>
      </c>
      <c r="C30" s="11">
        <v>7</v>
      </c>
      <c r="D30" s="33">
        <f t="shared" si="0"/>
        <v>8.1585081585081581E-3</v>
      </c>
      <c r="G30" s="40"/>
      <c r="H30" s="36" t="s">
        <v>106</v>
      </c>
      <c r="I30" s="11">
        <v>9</v>
      </c>
      <c r="J30" s="33">
        <v>1.020408163265306E-2</v>
      </c>
      <c r="K30" s="40"/>
      <c r="L30" s="40"/>
      <c r="M30" s="40"/>
      <c r="N30" s="79" t="s">
        <v>116</v>
      </c>
      <c r="O30" s="67">
        <v>6</v>
      </c>
      <c r="P30" s="85">
        <f t="shared" si="2"/>
        <v>6.920415224913495E-3</v>
      </c>
      <c r="Q30" s="40"/>
      <c r="S30" s="36" t="s">
        <v>125</v>
      </c>
      <c r="T30" s="11">
        <v>8</v>
      </c>
      <c r="U30" s="33">
        <v>8.7145969498910684E-3</v>
      </c>
      <c r="V30" s="40"/>
      <c r="X30" s="260"/>
      <c r="Y30" s="278" t="s">
        <v>117</v>
      </c>
      <c r="Z30" s="279">
        <v>8</v>
      </c>
      <c r="AA30" s="269">
        <v>8.3160083160083165E-3</v>
      </c>
      <c r="AB30" s="259"/>
      <c r="AD30" s="260"/>
      <c r="AE30" s="278" t="s">
        <v>117</v>
      </c>
      <c r="AF30" s="279">
        <v>8</v>
      </c>
      <c r="AG30" s="269">
        <f t="shared" si="3"/>
        <v>8.2730093071354711E-3</v>
      </c>
      <c r="AH30" s="260"/>
      <c r="AJ30" s="260"/>
      <c r="AK30" s="278" t="s">
        <v>97</v>
      </c>
      <c r="AL30" s="279">
        <v>6</v>
      </c>
      <c r="AM30" s="269">
        <f t="shared" si="1"/>
        <v>7.2202166064981952E-3</v>
      </c>
      <c r="AN30" s="260"/>
    </row>
    <row r="31" spans="1:40" x14ac:dyDescent="0.25">
      <c r="B31" s="36" t="s">
        <v>117</v>
      </c>
      <c r="C31" s="11">
        <v>7</v>
      </c>
      <c r="D31" s="33">
        <f t="shared" si="0"/>
        <v>8.1585081585081581E-3</v>
      </c>
      <c r="G31" s="40"/>
      <c r="H31" s="36" t="s">
        <v>113</v>
      </c>
      <c r="I31" s="11">
        <v>9</v>
      </c>
      <c r="J31" s="33">
        <v>1.020408163265306E-2</v>
      </c>
      <c r="K31" s="40"/>
      <c r="L31" s="40"/>
      <c r="M31" s="40"/>
      <c r="N31" s="79" t="s">
        <v>150</v>
      </c>
      <c r="O31" s="67">
        <v>5</v>
      </c>
      <c r="P31" s="85">
        <f t="shared" si="2"/>
        <v>5.7670126874279125E-3</v>
      </c>
      <c r="Q31" s="40"/>
      <c r="S31" s="36" t="s">
        <v>115</v>
      </c>
      <c r="T31" s="11">
        <v>8</v>
      </c>
      <c r="U31" s="33">
        <v>8.7145969498910684E-3</v>
      </c>
      <c r="V31" s="40"/>
      <c r="X31" s="260"/>
      <c r="Y31" s="278" t="s">
        <v>112</v>
      </c>
      <c r="Z31" s="279">
        <v>8</v>
      </c>
      <c r="AA31" s="269">
        <v>8.3160083160083165E-3</v>
      </c>
      <c r="AB31" s="259"/>
      <c r="AD31" s="260"/>
      <c r="AE31" s="278" t="s">
        <v>145</v>
      </c>
      <c r="AF31" s="279">
        <v>8</v>
      </c>
      <c r="AG31" s="269">
        <f t="shared" si="3"/>
        <v>8.2730093071354711E-3</v>
      </c>
      <c r="AH31" s="260"/>
      <c r="AJ31" s="260"/>
      <c r="AK31" s="278" t="s">
        <v>106</v>
      </c>
      <c r="AL31" s="279">
        <v>6</v>
      </c>
      <c r="AM31" s="269">
        <f t="shared" si="1"/>
        <v>7.2202166064981952E-3</v>
      </c>
      <c r="AN31" s="260"/>
    </row>
    <row r="32" spans="1:40" x14ac:dyDescent="0.25">
      <c r="B32" s="36" t="s">
        <v>118</v>
      </c>
      <c r="C32" s="11">
        <v>6</v>
      </c>
      <c r="D32" s="33">
        <f t="shared" si="0"/>
        <v>6.993006993006993E-3</v>
      </c>
      <c r="G32" s="40"/>
      <c r="H32" s="36" t="s">
        <v>110</v>
      </c>
      <c r="I32" s="11">
        <v>8</v>
      </c>
      <c r="J32" s="33">
        <v>9.0702947845804991E-3</v>
      </c>
      <c r="K32" s="40"/>
      <c r="L32" s="40"/>
      <c r="M32" s="40"/>
      <c r="N32" s="79" t="s">
        <v>113</v>
      </c>
      <c r="O32" s="67">
        <v>5</v>
      </c>
      <c r="P32" s="85">
        <f t="shared" si="2"/>
        <v>5.7670126874279125E-3</v>
      </c>
      <c r="Q32" s="40"/>
      <c r="S32" s="36" t="s">
        <v>113</v>
      </c>
      <c r="T32" s="11">
        <v>8</v>
      </c>
      <c r="U32" s="33">
        <v>8.7145969498910684E-3</v>
      </c>
      <c r="V32" s="40"/>
      <c r="X32" s="259"/>
      <c r="Y32" s="278" t="s">
        <v>126</v>
      </c>
      <c r="Z32" s="279">
        <v>8</v>
      </c>
      <c r="AA32" s="269">
        <v>8.3160083160083165E-3</v>
      </c>
      <c r="AB32" s="259"/>
      <c r="AD32" s="260"/>
      <c r="AE32" s="278" t="s">
        <v>123</v>
      </c>
      <c r="AF32" s="279">
        <v>8</v>
      </c>
      <c r="AG32" s="269">
        <f t="shared" si="3"/>
        <v>8.2730093071354711E-3</v>
      </c>
      <c r="AH32" s="260"/>
      <c r="AJ32" s="260"/>
      <c r="AK32" s="278" t="s">
        <v>112</v>
      </c>
      <c r="AL32" s="279">
        <v>5</v>
      </c>
      <c r="AM32" s="269">
        <f t="shared" si="1"/>
        <v>6.0168471720818293E-3</v>
      </c>
      <c r="AN32" s="260"/>
    </row>
    <row r="33" spans="2:40" x14ac:dyDescent="0.25">
      <c r="B33" s="36" t="s">
        <v>119</v>
      </c>
      <c r="C33" s="11">
        <v>6</v>
      </c>
      <c r="D33" s="33">
        <f t="shared" si="0"/>
        <v>6.993006993006993E-3</v>
      </c>
      <c r="G33" s="40"/>
      <c r="H33" s="36" t="s">
        <v>115</v>
      </c>
      <c r="I33" s="11">
        <v>7</v>
      </c>
      <c r="J33" s="33">
        <v>7.9365079365079361E-3</v>
      </c>
      <c r="K33" s="40"/>
      <c r="L33" s="40"/>
      <c r="M33" s="40"/>
      <c r="N33" s="79" t="s">
        <v>138</v>
      </c>
      <c r="O33" s="67">
        <v>5</v>
      </c>
      <c r="P33" s="85">
        <f t="shared" si="2"/>
        <v>5.7670126874279125E-3</v>
      </c>
      <c r="Q33" s="40"/>
      <c r="S33" s="36" t="s">
        <v>138</v>
      </c>
      <c r="T33" s="11">
        <v>7</v>
      </c>
      <c r="U33" s="33">
        <v>7.6252723311546842E-3</v>
      </c>
      <c r="V33" s="40"/>
      <c r="X33" s="259"/>
      <c r="Y33" s="278" t="s">
        <v>123</v>
      </c>
      <c r="Z33" s="279">
        <v>8</v>
      </c>
      <c r="AA33" s="269">
        <v>8.3160083160083165E-3</v>
      </c>
      <c r="AB33" s="259"/>
      <c r="AD33" s="260"/>
      <c r="AE33" s="278" t="s">
        <v>107</v>
      </c>
      <c r="AF33" s="279">
        <v>7</v>
      </c>
      <c r="AG33" s="269">
        <f t="shared" si="3"/>
        <v>7.2388831437435368E-3</v>
      </c>
      <c r="AH33" s="260"/>
      <c r="AJ33" s="260"/>
      <c r="AK33" s="278" t="s">
        <v>131</v>
      </c>
      <c r="AL33" s="279">
        <v>5</v>
      </c>
      <c r="AM33" s="269">
        <f t="shared" si="1"/>
        <v>6.0168471720818293E-3</v>
      </c>
      <c r="AN33" s="260"/>
    </row>
    <row r="34" spans="2:40" x14ac:dyDescent="0.25">
      <c r="B34" s="36" t="s">
        <v>120</v>
      </c>
      <c r="C34" s="11">
        <v>6</v>
      </c>
      <c r="D34" s="33">
        <f t="shared" si="0"/>
        <v>6.993006993006993E-3</v>
      </c>
      <c r="G34" s="40"/>
      <c r="H34" s="36" t="s">
        <v>128</v>
      </c>
      <c r="I34" s="11">
        <v>6</v>
      </c>
      <c r="J34" s="33">
        <v>6.8027210884353739E-3</v>
      </c>
      <c r="K34" s="40"/>
      <c r="L34" s="40"/>
      <c r="M34" s="40"/>
      <c r="N34" s="79" t="s">
        <v>108</v>
      </c>
      <c r="O34" s="67">
        <v>5</v>
      </c>
      <c r="P34" s="85">
        <f t="shared" si="2"/>
        <v>5.7670126874279125E-3</v>
      </c>
      <c r="Q34" s="40"/>
      <c r="S34" s="36" t="s">
        <v>112</v>
      </c>
      <c r="T34" s="11">
        <v>7</v>
      </c>
      <c r="U34" s="33">
        <v>7.6252723311546842E-3</v>
      </c>
      <c r="V34" s="40"/>
      <c r="X34" s="259"/>
      <c r="Y34" s="278" t="s">
        <v>115</v>
      </c>
      <c r="Z34" s="279">
        <v>7</v>
      </c>
      <c r="AA34" s="269">
        <v>7.2765072765072769E-3</v>
      </c>
      <c r="AB34" s="259"/>
      <c r="AD34" s="260"/>
      <c r="AE34" s="278" t="s">
        <v>133</v>
      </c>
      <c r="AF34" s="279">
        <v>7</v>
      </c>
      <c r="AG34" s="269">
        <f t="shared" si="3"/>
        <v>7.2388831437435368E-3</v>
      </c>
      <c r="AH34" s="260"/>
      <c r="AJ34" s="260"/>
      <c r="AK34" s="278" t="s">
        <v>128</v>
      </c>
      <c r="AL34" s="279">
        <v>4</v>
      </c>
      <c r="AM34" s="269">
        <f t="shared" si="1"/>
        <v>4.8134777376654635E-3</v>
      </c>
      <c r="AN34" s="260"/>
    </row>
    <row r="35" spans="2:40" x14ac:dyDescent="0.25">
      <c r="B35" s="36" t="s">
        <v>121</v>
      </c>
      <c r="C35" s="11">
        <v>5</v>
      </c>
      <c r="D35" s="33">
        <f t="shared" si="0"/>
        <v>5.8275058275058279E-3</v>
      </c>
      <c r="G35" s="40"/>
      <c r="H35" s="36" t="s">
        <v>108</v>
      </c>
      <c r="I35" s="11">
        <v>6</v>
      </c>
      <c r="J35" s="33">
        <v>6.8027210884353739E-3</v>
      </c>
      <c r="K35" s="40"/>
      <c r="L35" s="40"/>
      <c r="M35" s="40"/>
      <c r="N35" s="79" t="s">
        <v>161</v>
      </c>
      <c r="O35" s="67">
        <v>5</v>
      </c>
      <c r="P35" s="85">
        <f t="shared" si="2"/>
        <v>5.7670126874279125E-3</v>
      </c>
      <c r="Q35" s="40"/>
      <c r="S35" s="36" t="s">
        <v>136</v>
      </c>
      <c r="T35" s="11">
        <v>7</v>
      </c>
      <c r="U35" s="33">
        <v>7.6252723311546842E-3</v>
      </c>
      <c r="V35" s="40"/>
      <c r="X35" s="259"/>
      <c r="Y35" s="278" t="s">
        <v>135</v>
      </c>
      <c r="Z35" s="279">
        <v>7</v>
      </c>
      <c r="AA35" s="269">
        <v>7.2765072765072769E-3</v>
      </c>
      <c r="AB35" s="259"/>
      <c r="AD35" s="260"/>
      <c r="AE35" s="278" t="s">
        <v>116</v>
      </c>
      <c r="AF35" s="279">
        <v>7</v>
      </c>
      <c r="AG35" s="269">
        <f t="shared" si="3"/>
        <v>7.2388831437435368E-3</v>
      </c>
      <c r="AH35" s="260"/>
      <c r="AJ35" s="260"/>
      <c r="AK35" s="278" t="s">
        <v>115</v>
      </c>
      <c r="AL35" s="279">
        <v>4</v>
      </c>
      <c r="AM35" s="269">
        <f t="shared" si="1"/>
        <v>4.8134777376654635E-3</v>
      </c>
      <c r="AN35" s="260"/>
    </row>
    <row r="36" spans="2:40" x14ac:dyDescent="0.25">
      <c r="B36" s="36" t="s">
        <v>122</v>
      </c>
      <c r="C36" s="11">
        <v>5</v>
      </c>
      <c r="D36" s="33">
        <f t="shared" si="0"/>
        <v>5.8275058275058279E-3</v>
      </c>
      <c r="G36" s="40"/>
      <c r="H36" s="36" t="s">
        <v>111</v>
      </c>
      <c r="I36" s="11">
        <v>6</v>
      </c>
      <c r="J36" s="33">
        <v>6.8027210884353739E-3</v>
      </c>
      <c r="K36" s="40"/>
      <c r="L36" s="40"/>
      <c r="M36" s="40"/>
      <c r="N36" s="79" t="s">
        <v>124</v>
      </c>
      <c r="O36" s="67">
        <v>4</v>
      </c>
      <c r="P36" s="85">
        <f t="shared" si="2"/>
        <v>4.61361014994233E-3</v>
      </c>
      <c r="Q36" s="40"/>
      <c r="S36" s="36" t="s">
        <v>111</v>
      </c>
      <c r="T36" s="11">
        <v>6</v>
      </c>
      <c r="U36" s="33">
        <v>6.5359477124183009E-3</v>
      </c>
      <c r="V36" s="40"/>
      <c r="X36" s="259"/>
      <c r="Y36" s="278" t="s">
        <v>107</v>
      </c>
      <c r="Z36" s="279">
        <v>7</v>
      </c>
      <c r="AA36" s="269">
        <v>7.2765072765072769E-3</v>
      </c>
      <c r="AB36" s="259"/>
      <c r="AD36" s="260"/>
      <c r="AE36" s="278" t="s">
        <v>125</v>
      </c>
      <c r="AF36" s="279">
        <v>7</v>
      </c>
      <c r="AG36" s="269">
        <f t="shared" si="3"/>
        <v>7.2388831437435368E-3</v>
      </c>
      <c r="AH36" s="260"/>
      <c r="AJ36" s="260"/>
      <c r="AK36" s="278" t="s">
        <v>145</v>
      </c>
      <c r="AL36" s="279">
        <v>4</v>
      </c>
      <c r="AM36" s="269">
        <f t="shared" si="1"/>
        <v>4.8134777376654635E-3</v>
      </c>
      <c r="AN36" s="260"/>
    </row>
    <row r="37" spans="2:40" x14ac:dyDescent="0.25">
      <c r="B37" s="36" t="s">
        <v>123</v>
      </c>
      <c r="C37" s="11">
        <v>5</v>
      </c>
      <c r="D37" s="33">
        <f t="shared" si="0"/>
        <v>5.8275058275058279E-3</v>
      </c>
      <c r="G37" s="40"/>
      <c r="H37" s="36" t="s">
        <v>117</v>
      </c>
      <c r="I37" s="11">
        <v>6</v>
      </c>
      <c r="J37" s="33">
        <v>6.8027210884353739E-3</v>
      </c>
      <c r="K37" s="40"/>
      <c r="L37" s="40"/>
      <c r="M37" s="40"/>
      <c r="N37" s="79" t="s">
        <v>112</v>
      </c>
      <c r="O37" s="67">
        <v>4</v>
      </c>
      <c r="P37" s="85">
        <f t="shared" si="2"/>
        <v>4.61361014994233E-3</v>
      </c>
      <c r="Q37" s="40"/>
      <c r="S37" s="36" t="s">
        <v>116</v>
      </c>
      <c r="T37" s="11">
        <v>6</v>
      </c>
      <c r="U37" s="33">
        <v>6.5359477124183009E-3</v>
      </c>
      <c r="V37" s="40"/>
      <c r="X37" s="259"/>
      <c r="Y37" s="278" t="s">
        <v>109</v>
      </c>
      <c r="Z37" s="279">
        <v>7</v>
      </c>
      <c r="AA37" s="269">
        <v>7.2765072765072769E-3</v>
      </c>
      <c r="AB37" s="259"/>
      <c r="AD37" s="260"/>
      <c r="AE37" s="278" t="s">
        <v>159</v>
      </c>
      <c r="AF37" s="279">
        <v>7</v>
      </c>
      <c r="AG37" s="269">
        <f t="shared" si="3"/>
        <v>7.2388831437435368E-3</v>
      </c>
      <c r="AH37" s="260"/>
      <c r="AJ37" s="260"/>
      <c r="AK37" s="278" t="s">
        <v>107</v>
      </c>
      <c r="AL37" s="279">
        <v>4</v>
      </c>
      <c r="AM37" s="269">
        <f t="shared" si="1"/>
        <v>4.8134777376654635E-3</v>
      </c>
      <c r="AN37" s="260"/>
    </row>
    <row r="38" spans="2:40" x14ac:dyDescent="0.25">
      <c r="B38" s="36" t="s">
        <v>124</v>
      </c>
      <c r="C38" s="11">
        <v>5</v>
      </c>
      <c r="D38" s="33">
        <f t="shared" si="0"/>
        <v>5.8275058275058279E-3</v>
      </c>
      <c r="G38" s="40"/>
      <c r="H38" s="36" t="s">
        <v>119</v>
      </c>
      <c r="I38" s="11">
        <v>6</v>
      </c>
      <c r="J38" s="33">
        <v>6.8027210884353739E-3</v>
      </c>
      <c r="K38" s="40"/>
      <c r="L38" s="40"/>
      <c r="M38" s="40"/>
      <c r="N38" s="79" t="s">
        <v>119</v>
      </c>
      <c r="O38" s="67">
        <v>4</v>
      </c>
      <c r="P38" s="85">
        <f t="shared" si="2"/>
        <v>4.61361014994233E-3</v>
      </c>
      <c r="Q38" s="40"/>
      <c r="S38" s="36" t="s">
        <v>107</v>
      </c>
      <c r="T38" s="11">
        <v>4</v>
      </c>
      <c r="U38" s="33">
        <v>4.3572984749455342E-3</v>
      </c>
      <c r="V38" s="40"/>
      <c r="X38" s="259"/>
      <c r="Y38" s="278" t="s">
        <v>111</v>
      </c>
      <c r="Z38" s="279">
        <v>6</v>
      </c>
      <c r="AA38" s="269">
        <v>6.2370062370062374E-3</v>
      </c>
      <c r="AB38" s="259"/>
      <c r="AD38" s="260"/>
      <c r="AE38" s="278" t="s">
        <v>124</v>
      </c>
      <c r="AF38" s="279">
        <v>6</v>
      </c>
      <c r="AG38" s="269">
        <f t="shared" si="3"/>
        <v>6.2047569803516025E-3</v>
      </c>
      <c r="AH38" s="260"/>
      <c r="AJ38" s="260"/>
      <c r="AK38" s="278" t="s">
        <v>125</v>
      </c>
      <c r="AL38" s="279">
        <v>4</v>
      </c>
      <c r="AM38" s="269">
        <f t="shared" si="1"/>
        <v>4.8134777376654635E-3</v>
      </c>
      <c r="AN38" s="260"/>
    </row>
    <row r="39" spans="2:40" x14ac:dyDescent="0.25">
      <c r="B39" s="36" t="s">
        <v>125</v>
      </c>
      <c r="C39" s="11">
        <v>5</v>
      </c>
      <c r="D39" s="33">
        <f t="shared" si="0"/>
        <v>5.8275058275058279E-3</v>
      </c>
      <c r="G39" s="40"/>
      <c r="H39" s="36" t="s">
        <v>124</v>
      </c>
      <c r="I39" s="11">
        <v>6</v>
      </c>
      <c r="J39" s="33">
        <v>6.8027210884353739E-3</v>
      </c>
      <c r="K39" s="40"/>
      <c r="L39" s="40"/>
      <c r="M39" s="40"/>
      <c r="N39" s="79" t="s">
        <v>128</v>
      </c>
      <c r="O39" s="67">
        <v>4</v>
      </c>
      <c r="P39" s="85">
        <f t="shared" si="2"/>
        <v>4.61361014994233E-3</v>
      </c>
      <c r="Q39" s="40"/>
      <c r="S39" s="36" t="s">
        <v>135</v>
      </c>
      <c r="T39" s="11">
        <v>4</v>
      </c>
      <c r="U39" s="33">
        <v>4.3572984749455342E-3</v>
      </c>
      <c r="V39" s="40"/>
      <c r="X39" s="259"/>
      <c r="Y39" s="278" t="s">
        <v>124</v>
      </c>
      <c r="Z39" s="279">
        <v>6</v>
      </c>
      <c r="AA39" s="269">
        <v>6.2370062370062374E-3</v>
      </c>
      <c r="AB39" s="259"/>
      <c r="AD39" s="260"/>
      <c r="AE39" s="278" t="s">
        <v>109</v>
      </c>
      <c r="AF39" s="279">
        <v>6</v>
      </c>
      <c r="AG39" s="269">
        <f t="shared" si="3"/>
        <v>6.2047569803516025E-3</v>
      </c>
      <c r="AH39" s="260"/>
      <c r="AJ39" s="260"/>
      <c r="AK39" s="278" t="s">
        <v>122</v>
      </c>
      <c r="AL39" s="279">
        <v>3</v>
      </c>
      <c r="AM39" s="269">
        <f t="shared" si="1"/>
        <v>3.6101083032490976E-3</v>
      </c>
      <c r="AN39" s="260"/>
    </row>
    <row r="40" spans="2:40" x14ac:dyDescent="0.25">
      <c r="B40" s="36" t="s">
        <v>126</v>
      </c>
      <c r="C40" s="11">
        <v>5</v>
      </c>
      <c r="D40" s="33">
        <f t="shared" si="0"/>
        <v>5.8275058275058279E-3</v>
      </c>
      <c r="G40" s="40"/>
      <c r="H40" s="36" t="s">
        <v>136</v>
      </c>
      <c r="I40" s="11">
        <v>4</v>
      </c>
      <c r="J40" s="33">
        <v>4.5351473922902496E-3</v>
      </c>
      <c r="K40" s="40"/>
      <c r="L40" s="40"/>
      <c r="M40" s="40"/>
      <c r="N40" s="79" t="s">
        <v>145</v>
      </c>
      <c r="O40" s="67">
        <v>3</v>
      </c>
      <c r="P40" s="85">
        <f t="shared" si="2"/>
        <v>3.4602076124567475E-3</v>
      </c>
      <c r="Q40" s="40"/>
      <c r="S40" s="36" t="s">
        <v>119</v>
      </c>
      <c r="T40" s="11">
        <v>4</v>
      </c>
      <c r="U40" s="33">
        <v>4.3572984749455342E-3</v>
      </c>
      <c r="V40" s="40"/>
      <c r="X40" s="259"/>
      <c r="Y40" s="278" t="s">
        <v>113</v>
      </c>
      <c r="Z40" s="279">
        <v>5</v>
      </c>
      <c r="AA40" s="269">
        <v>5.1975051975051978E-3</v>
      </c>
      <c r="AB40" s="259"/>
      <c r="AD40" s="260"/>
      <c r="AE40" s="278" t="s">
        <v>153</v>
      </c>
      <c r="AF40" s="279">
        <v>6</v>
      </c>
      <c r="AG40" s="269">
        <f t="shared" si="3"/>
        <v>6.2047569803516025E-3</v>
      </c>
      <c r="AH40" s="260"/>
      <c r="AJ40" s="260"/>
      <c r="AK40" s="278" t="s">
        <v>114</v>
      </c>
      <c r="AL40" s="279">
        <v>3</v>
      </c>
      <c r="AM40" s="269">
        <f t="shared" si="1"/>
        <v>3.6101083032490976E-3</v>
      </c>
      <c r="AN40" s="260"/>
    </row>
    <row r="41" spans="2:40" x14ac:dyDescent="0.25">
      <c r="B41" s="36" t="s">
        <v>127</v>
      </c>
      <c r="C41" s="11">
        <v>4</v>
      </c>
      <c r="D41" s="33">
        <f t="shared" si="0"/>
        <v>4.662004662004662E-3</v>
      </c>
      <c r="G41" s="40"/>
      <c r="H41" s="36" t="s">
        <v>122</v>
      </c>
      <c r="I41" s="11">
        <v>4</v>
      </c>
      <c r="J41" s="33">
        <v>4.5351473922902496E-3</v>
      </c>
      <c r="K41" s="40"/>
      <c r="L41" s="40"/>
      <c r="M41" s="40"/>
      <c r="N41" s="79" t="s">
        <v>155</v>
      </c>
      <c r="O41" s="67">
        <v>3</v>
      </c>
      <c r="P41" s="85">
        <f t="shared" si="2"/>
        <v>3.4602076124567475E-3</v>
      </c>
      <c r="Q41" s="40"/>
      <c r="S41" s="36" t="s">
        <v>108</v>
      </c>
      <c r="T41" s="11">
        <v>4</v>
      </c>
      <c r="U41" s="33">
        <v>4.3572984749455342E-3</v>
      </c>
      <c r="V41" s="40"/>
      <c r="X41" s="259"/>
      <c r="Y41" s="278" t="s">
        <v>116</v>
      </c>
      <c r="Z41" s="279">
        <v>5</v>
      </c>
      <c r="AA41" s="269">
        <v>5.1975051975051978E-3</v>
      </c>
      <c r="AB41" s="259"/>
      <c r="AD41" s="260"/>
      <c r="AE41" s="278" t="s">
        <v>121</v>
      </c>
      <c r="AF41" s="279">
        <v>6</v>
      </c>
      <c r="AG41" s="269">
        <f t="shared" si="3"/>
        <v>6.2047569803516025E-3</v>
      </c>
      <c r="AH41" s="260"/>
      <c r="AJ41" s="260"/>
      <c r="AK41" s="278" t="s">
        <v>159</v>
      </c>
      <c r="AL41" s="279">
        <v>3</v>
      </c>
      <c r="AM41" s="269">
        <f t="shared" si="1"/>
        <v>3.6101083032490976E-3</v>
      </c>
      <c r="AN41" s="260"/>
    </row>
    <row r="42" spans="2:40" x14ac:dyDescent="0.25">
      <c r="B42" s="36" t="s">
        <v>128</v>
      </c>
      <c r="C42" s="11">
        <v>4</v>
      </c>
      <c r="D42" s="33">
        <f t="shared" si="0"/>
        <v>4.662004662004662E-3</v>
      </c>
      <c r="G42" s="40"/>
      <c r="H42" s="36" t="s">
        <v>147</v>
      </c>
      <c r="I42" s="11">
        <v>4</v>
      </c>
      <c r="J42" s="33">
        <v>4.5351473922902496E-3</v>
      </c>
      <c r="K42" s="40"/>
      <c r="L42" s="40"/>
      <c r="M42" s="40"/>
      <c r="N42" s="79" t="s">
        <v>136</v>
      </c>
      <c r="O42" s="67">
        <v>3</v>
      </c>
      <c r="P42" s="85">
        <f t="shared" si="2"/>
        <v>3.4602076124567475E-3</v>
      </c>
      <c r="Q42" s="40"/>
      <c r="S42" s="36" t="s">
        <v>176</v>
      </c>
      <c r="T42" s="11">
        <v>4</v>
      </c>
      <c r="U42" s="33">
        <v>4.3572984749455342E-3</v>
      </c>
      <c r="V42" s="40"/>
      <c r="X42" s="259"/>
      <c r="Y42" s="278" t="s">
        <v>145</v>
      </c>
      <c r="Z42" s="279">
        <v>5</v>
      </c>
      <c r="AA42" s="269">
        <v>5.1975051975051978E-3</v>
      </c>
      <c r="AB42" s="259"/>
      <c r="AD42" s="260"/>
      <c r="AE42" s="278" t="s">
        <v>136</v>
      </c>
      <c r="AF42" s="279">
        <v>5</v>
      </c>
      <c r="AG42" s="269">
        <f t="shared" si="3"/>
        <v>5.170630816959669E-3</v>
      </c>
      <c r="AH42" s="260"/>
      <c r="AJ42" s="260"/>
      <c r="AK42" s="278" t="s">
        <v>133</v>
      </c>
      <c r="AL42" s="279">
        <v>3</v>
      </c>
      <c r="AM42" s="269">
        <f t="shared" si="1"/>
        <v>3.6101083032490976E-3</v>
      </c>
      <c r="AN42" s="260"/>
    </row>
    <row r="43" spans="2:40" x14ac:dyDescent="0.25">
      <c r="B43" s="36" t="s">
        <v>129</v>
      </c>
      <c r="C43" s="11">
        <v>4</v>
      </c>
      <c r="D43" s="33">
        <f t="shared" si="0"/>
        <v>4.662004662004662E-3</v>
      </c>
      <c r="G43" s="40"/>
      <c r="H43" s="36" t="s">
        <v>137</v>
      </c>
      <c r="I43" s="11">
        <v>3</v>
      </c>
      <c r="J43" s="33">
        <v>3.4013605442176869E-3</v>
      </c>
      <c r="K43" s="40"/>
      <c r="L43" s="40"/>
      <c r="M43" s="40"/>
      <c r="N43" s="79" t="s">
        <v>117</v>
      </c>
      <c r="O43" s="67">
        <v>3</v>
      </c>
      <c r="P43" s="85">
        <f t="shared" si="2"/>
        <v>3.4602076124567475E-3</v>
      </c>
      <c r="Q43" s="40"/>
      <c r="S43" s="36" t="s">
        <v>159</v>
      </c>
      <c r="T43" s="11">
        <v>3</v>
      </c>
      <c r="U43" s="33">
        <v>3.2679738562091504E-3</v>
      </c>
      <c r="V43" s="40"/>
      <c r="X43" s="259"/>
      <c r="Y43" s="278" t="s">
        <v>125</v>
      </c>
      <c r="Z43" s="279">
        <v>4</v>
      </c>
      <c r="AA43" s="269">
        <v>4.1580041580041582E-3</v>
      </c>
      <c r="AB43" s="259"/>
      <c r="AD43" s="260"/>
      <c r="AE43" s="278" t="s">
        <v>144</v>
      </c>
      <c r="AF43" s="279">
        <v>4</v>
      </c>
      <c r="AG43" s="269">
        <f t="shared" si="3"/>
        <v>4.1365046535677356E-3</v>
      </c>
      <c r="AH43" s="260"/>
      <c r="AJ43" s="260"/>
      <c r="AK43" s="278" t="s">
        <v>138</v>
      </c>
      <c r="AL43" s="279">
        <v>3</v>
      </c>
      <c r="AM43" s="269">
        <f t="shared" si="1"/>
        <v>3.6101083032490976E-3</v>
      </c>
      <c r="AN43" s="260"/>
    </row>
    <row r="44" spans="2:40" x14ac:dyDescent="0.25">
      <c r="B44" s="36" t="s">
        <v>130</v>
      </c>
      <c r="C44" s="11">
        <v>4</v>
      </c>
      <c r="D44" s="33">
        <f t="shared" si="0"/>
        <v>4.662004662004662E-3</v>
      </c>
      <c r="G44" s="40"/>
      <c r="H44" s="36" t="s">
        <v>138</v>
      </c>
      <c r="I44" s="11">
        <v>3</v>
      </c>
      <c r="J44" s="33">
        <v>3.4013605442176869E-3</v>
      </c>
      <c r="K44" s="40"/>
      <c r="L44" s="40"/>
      <c r="M44" s="40"/>
      <c r="N44" s="79" t="s">
        <v>123</v>
      </c>
      <c r="O44" s="67">
        <v>3</v>
      </c>
      <c r="P44" s="85">
        <f t="shared" si="2"/>
        <v>3.4602076124567475E-3</v>
      </c>
      <c r="Q44" s="40"/>
      <c r="S44" s="36" t="s">
        <v>131</v>
      </c>
      <c r="T44" s="11">
        <v>2</v>
      </c>
      <c r="U44" s="33">
        <v>2.1786492374727671E-3</v>
      </c>
      <c r="V44" s="40"/>
      <c r="X44" s="259"/>
      <c r="Y44" s="278" t="s">
        <v>153</v>
      </c>
      <c r="Z44" s="279">
        <v>4</v>
      </c>
      <c r="AA44" s="269">
        <v>4.1580041580041582E-3</v>
      </c>
      <c r="AB44" s="259"/>
      <c r="AD44" s="260"/>
      <c r="AE44" s="278" t="s">
        <v>119</v>
      </c>
      <c r="AF44" s="279">
        <v>4</v>
      </c>
      <c r="AG44" s="269">
        <f t="shared" si="3"/>
        <v>4.1365046535677356E-3</v>
      </c>
      <c r="AH44" s="260"/>
      <c r="AJ44" s="260"/>
      <c r="AK44" s="278" t="s">
        <v>121</v>
      </c>
      <c r="AL44" s="279">
        <v>3</v>
      </c>
      <c r="AM44" s="269">
        <f t="shared" si="1"/>
        <v>3.6101083032490976E-3</v>
      </c>
      <c r="AN44" s="260"/>
    </row>
    <row r="45" spans="2:40" x14ac:dyDescent="0.25">
      <c r="B45" s="36" t="s">
        <v>131</v>
      </c>
      <c r="C45" s="11">
        <v>4</v>
      </c>
      <c r="D45" s="33">
        <f t="shared" si="0"/>
        <v>4.662004662004662E-3</v>
      </c>
      <c r="G45" s="40"/>
      <c r="H45" s="36" t="s">
        <v>131</v>
      </c>
      <c r="I45" s="11">
        <v>3</v>
      </c>
      <c r="J45" s="33">
        <v>3.4013605442176869E-3</v>
      </c>
      <c r="K45" s="40"/>
      <c r="L45" s="40"/>
      <c r="M45" s="40"/>
      <c r="N45" s="79" t="s">
        <v>159</v>
      </c>
      <c r="O45" s="67">
        <v>3</v>
      </c>
      <c r="P45" s="85">
        <f t="shared" si="2"/>
        <v>3.4602076124567475E-3</v>
      </c>
      <c r="Q45" s="40"/>
      <c r="S45" s="36" t="s">
        <v>152</v>
      </c>
      <c r="T45" s="11">
        <v>2</v>
      </c>
      <c r="U45" s="33">
        <v>2.1786492374727671E-3</v>
      </c>
      <c r="V45" s="40"/>
      <c r="X45" s="259"/>
      <c r="Y45" s="278" t="s">
        <v>121</v>
      </c>
      <c r="Z45" s="279">
        <v>4</v>
      </c>
      <c r="AA45" s="269">
        <v>4.1580041580041582E-3</v>
      </c>
      <c r="AB45" s="259"/>
      <c r="AD45" s="260"/>
      <c r="AE45" s="278" t="s">
        <v>158</v>
      </c>
      <c r="AF45" s="279">
        <v>4</v>
      </c>
      <c r="AG45" s="269">
        <f t="shared" si="3"/>
        <v>4.1365046535677356E-3</v>
      </c>
      <c r="AH45" s="260"/>
      <c r="AJ45" s="260"/>
      <c r="AK45" s="278" t="s">
        <v>143</v>
      </c>
      <c r="AL45" s="279">
        <v>3</v>
      </c>
      <c r="AM45" s="269">
        <f t="shared" si="1"/>
        <v>3.6101083032490976E-3</v>
      </c>
      <c r="AN45" s="260"/>
    </row>
    <row r="46" spans="2:40" x14ac:dyDescent="0.25">
      <c r="B46" s="36" t="s">
        <v>132</v>
      </c>
      <c r="C46" s="11">
        <v>3</v>
      </c>
      <c r="D46" s="33">
        <f t="shared" si="0"/>
        <v>3.4965034965034965E-3</v>
      </c>
      <c r="G46" s="40"/>
      <c r="H46" s="36" t="s">
        <v>121</v>
      </c>
      <c r="I46" s="11">
        <v>3</v>
      </c>
      <c r="J46" s="33">
        <v>3.4013605442176869E-3</v>
      </c>
      <c r="K46" s="40"/>
      <c r="L46" s="40"/>
      <c r="M46" s="40"/>
      <c r="N46" s="79" t="s">
        <v>157</v>
      </c>
      <c r="O46" s="67">
        <v>3</v>
      </c>
      <c r="P46" s="85">
        <f t="shared" si="2"/>
        <v>3.4602076124567475E-3</v>
      </c>
      <c r="Q46" s="40"/>
      <c r="S46" s="36" t="s">
        <v>153</v>
      </c>
      <c r="T46" s="11">
        <v>2</v>
      </c>
      <c r="U46" s="33">
        <v>2.1786492374727671E-3</v>
      </c>
      <c r="V46" s="40"/>
      <c r="X46" s="259"/>
      <c r="Y46" s="278" t="s">
        <v>159</v>
      </c>
      <c r="Z46" s="279">
        <v>4</v>
      </c>
      <c r="AA46" s="269">
        <v>4.1580041580041582E-3</v>
      </c>
      <c r="AB46" s="259"/>
      <c r="AD46" s="260"/>
      <c r="AE46" s="278" t="s">
        <v>172</v>
      </c>
      <c r="AF46" s="279">
        <v>3</v>
      </c>
      <c r="AG46" s="269">
        <f t="shared" si="3"/>
        <v>3.1023784901758012E-3</v>
      </c>
      <c r="AH46" s="260"/>
      <c r="AJ46" s="260"/>
      <c r="AK46" s="278" t="s">
        <v>144</v>
      </c>
      <c r="AL46" s="279">
        <v>3</v>
      </c>
      <c r="AM46" s="269">
        <f t="shared" si="1"/>
        <v>3.6101083032490976E-3</v>
      </c>
      <c r="AN46" s="260"/>
    </row>
    <row r="47" spans="2:40" x14ac:dyDescent="0.25">
      <c r="B47" s="36" t="s">
        <v>133</v>
      </c>
      <c r="C47" s="11">
        <v>3</v>
      </c>
      <c r="D47" s="33">
        <f t="shared" si="0"/>
        <v>3.4965034965034965E-3</v>
      </c>
      <c r="G47" s="40"/>
      <c r="H47" s="36" t="s">
        <v>143</v>
      </c>
      <c r="I47" s="11">
        <v>3</v>
      </c>
      <c r="J47" s="33">
        <v>3.4013605442176869E-3</v>
      </c>
      <c r="K47" s="40"/>
      <c r="L47" s="40"/>
      <c r="M47" s="40"/>
      <c r="N47" s="79" t="s">
        <v>152</v>
      </c>
      <c r="O47" s="67">
        <v>3</v>
      </c>
      <c r="P47" s="85">
        <f t="shared" si="2"/>
        <v>3.4602076124567475E-3</v>
      </c>
      <c r="Q47" s="40"/>
      <c r="S47" s="36" t="s">
        <v>155</v>
      </c>
      <c r="T47" s="11">
        <v>2</v>
      </c>
      <c r="U47" s="33">
        <v>2.1786492374727671E-3</v>
      </c>
      <c r="V47" s="40"/>
      <c r="X47" s="259"/>
      <c r="Y47" s="278" t="s">
        <v>152</v>
      </c>
      <c r="Z47" s="279">
        <v>4</v>
      </c>
      <c r="AA47" s="269">
        <v>4.1580041580041582E-3</v>
      </c>
      <c r="AB47" s="259"/>
      <c r="AD47" s="260"/>
      <c r="AE47" s="278" t="s">
        <v>149</v>
      </c>
      <c r="AF47" s="279">
        <v>3</v>
      </c>
      <c r="AG47" s="269">
        <f t="shared" si="3"/>
        <v>3.1023784901758012E-3</v>
      </c>
      <c r="AH47" s="260"/>
      <c r="AJ47" s="260"/>
      <c r="AK47" s="278" t="s">
        <v>150</v>
      </c>
      <c r="AL47" s="279">
        <v>2</v>
      </c>
      <c r="AM47" s="269">
        <f t="shared" si="1"/>
        <v>2.4067388688327317E-3</v>
      </c>
      <c r="AN47" s="260"/>
    </row>
    <row r="48" spans="2:40" x14ac:dyDescent="0.25">
      <c r="B48" s="36" t="s">
        <v>134</v>
      </c>
      <c r="C48" s="11">
        <v>3</v>
      </c>
      <c r="D48" s="33">
        <f t="shared" si="0"/>
        <v>3.4965034965034965E-3</v>
      </c>
      <c r="G48" s="40"/>
      <c r="H48" s="36" t="s">
        <v>157</v>
      </c>
      <c r="I48" s="11">
        <v>3</v>
      </c>
      <c r="J48" s="33">
        <v>3.4013605442176869E-3</v>
      </c>
      <c r="K48" s="40"/>
      <c r="L48" s="40"/>
      <c r="M48" s="40"/>
      <c r="N48" s="79" t="s">
        <v>122</v>
      </c>
      <c r="O48" s="67">
        <v>2</v>
      </c>
      <c r="P48" s="85">
        <f t="shared" si="2"/>
        <v>2.306805074971165E-3</v>
      </c>
      <c r="Q48" s="40"/>
      <c r="S48" s="36" t="s">
        <v>133</v>
      </c>
      <c r="T48" s="11">
        <v>2</v>
      </c>
      <c r="U48" s="33">
        <v>2.1786492374727671E-3</v>
      </c>
      <c r="V48" s="40"/>
      <c r="X48" s="259"/>
      <c r="Y48" s="278" t="s">
        <v>122</v>
      </c>
      <c r="Z48" s="279">
        <v>3</v>
      </c>
      <c r="AA48" s="269">
        <v>3.1185031185031187E-3</v>
      </c>
      <c r="AB48" s="259"/>
      <c r="AD48" s="260"/>
      <c r="AE48" s="278" t="s">
        <v>142</v>
      </c>
      <c r="AF48" s="279">
        <v>3</v>
      </c>
      <c r="AG48" s="269">
        <f t="shared" si="3"/>
        <v>3.1023784901758012E-3</v>
      </c>
      <c r="AH48" s="260"/>
      <c r="AJ48" s="260"/>
      <c r="AK48" s="278" t="s">
        <v>117</v>
      </c>
      <c r="AL48" s="279">
        <v>2</v>
      </c>
      <c r="AM48" s="269">
        <f t="shared" si="1"/>
        <v>2.4067388688327317E-3</v>
      </c>
      <c r="AN48" s="260"/>
    </row>
    <row r="49" spans="2:40" x14ac:dyDescent="0.25">
      <c r="B49" s="36" t="s">
        <v>135</v>
      </c>
      <c r="C49" s="11">
        <v>3</v>
      </c>
      <c r="D49" s="33">
        <f t="shared" si="0"/>
        <v>3.4965034965034965E-3</v>
      </c>
      <c r="G49" s="40"/>
      <c r="H49" s="36" t="s">
        <v>155</v>
      </c>
      <c r="I49" s="11">
        <v>2</v>
      </c>
      <c r="J49" s="33">
        <v>2.2675736961451248E-3</v>
      </c>
      <c r="K49" s="40"/>
      <c r="L49" s="40"/>
      <c r="M49" s="40"/>
      <c r="N49" s="79" t="s">
        <v>143</v>
      </c>
      <c r="O49" s="67">
        <v>2</v>
      </c>
      <c r="P49" s="85">
        <f t="shared" si="2"/>
        <v>2.306805074971165E-3</v>
      </c>
      <c r="Q49" s="40"/>
      <c r="S49" s="36" t="s">
        <v>150</v>
      </c>
      <c r="T49" s="11">
        <v>2</v>
      </c>
      <c r="U49" s="33">
        <v>2.1786492374727671E-3</v>
      </c>
      <c r="V49" s="40"/>
      <c r="X49" s="259"/>
      <c r="Y49" s="278" t="s">
        <v>150</v>
      </c>
      <c r="Z49" s="279">
        <v>2</v>
      </c>
      <c r="AA49" s="269">
        <v>2.0790020790020791E-3</v>
      </c>
      <c r="AB49" s="259"/>
      <c r="AD49" s="260"/>
      <c r="AE49" s="278" t="s">
        <v>128</v>
      </c>
      <c r="AF49" s="279">
        <v>3</v>
      </c>
      <c r="AG49" s="269">
        <f t="shared" si="3"/>
        <v>3.1023784901758012E-3</v>
      </c>
      <c r="AH49" s="260"/>
      <c r="AJ49" s="260"/>
      <c r="AK49" s="278" t="s">
        <v>147</v>
      </c>
      <c r="AL49" s="279">
        <v>2</v>
      </c>
      <c r="AM49" s="269">
        <f t="shared" si="1"/>
        <v>2.4067388688327317E-3</v>
      </c>
      <c r="AN49" s="260"/>
    </row>
    <row r="50" spans="2:40" x14ac:dyDescent="0.25">
      <c r="B50" s="36" t="s">
        <v>136</v>
      </c>
      <c r="C50" s="11">
        <v>2</v>
      </c>
      <c r="D50" s="33">
        <f t="shared" si="0"/>
        <v>2.331002331002331E-3</v>
      </c>
      <c r="G50" s="40"/>
      <c r="H50" s="36" t="s">
        <v>150</v>
      </c>
      <c r="I50" s="11">
        <v>2</v>
      </c>
      <c r="J50" s="33">
        <v>2.2675736961451248E-3</v>
      </c>
      <c r="K50" s="40"/>
      <c r="L50" s="40"/>
      <c r="M50" s="40"/>
      <c r="N50" s="79" t="s">
        <v>135</v>
      </c>
      <c r="O50" s="67">
        <v>2</v>
      </c>
      <c r="P50" s="85">
        <f t="shared" si="2"/>
        <v>2.306805074971165E-3</v>
      </c>
      <c r="Q50" s="40"/>
      <c r="S50" s="36" t="s">
        <v>157</v>
      </c>
      <c r="T50" s="11">
        <v>2</v>
      </c>
      <c r="U50" s="33">
        <v>2.1786492374727671E-3</v>
      </c>
      <c r="V50" s="40"/>
      <c r="X50" s="259"/>
      <c r="Y50" s="278" t="s">
        <v>134</v>
      </c>
      <c r="Z50" s="279">
        <v>2</v>
      </c>
      <c r="AA50" s="269">
        <v>2.0790020790020791E-3</v>
      </c>
      <c r="AB50" s="259"/>
      <c r="AD50" s="260"/>
      <c r="AE50" s="278" t="s">
        <v>122</v>
      </c>
      <c r="AF50" s="279">
        <v>3</v>
      </c>
      <c r="AG50" s="269">
        <f t="shared" si="3"/>
        <v>3.1023784901758012E-3</v>
      </c>
      <c r="AH50" s="260"/>
      <c r="AJ50" s="260"/>
      <c r="AK50" s="278" t="s">
        <v>142</v>
      </c>
      <c r="AL50" s="279">
        <v>2</v>
      </c>
      <c r="AM50" s="269">
        <f t="shared" si="1"/>
        <v>2.4067388688327317E-3</v>
      </c>
      <c r="AN50" s="260"/>
    </row>
    <row r="51" spans="2:40" x14ac:dyDescent="0.25">
      <c r="B51" s="36" t="s">
        <v>137</v>
      </c>
      <c r="C51" s="11">
        <v>2</v>
      </c>
      <c r="D51" s="33">
        <f t="shared" si="0"/>
        <v>2.331002331002331E-3</v>
      </c>
      <c r="G51" s="40"/>
      <c r="H51" s="36" t="s">
        <v>135</v>
      </c>
      <c r="I51" s="11">
        <v>2</v>
      </c>
      <c r="J51" s="33">
        <v>2.2675736961451248E-3</v>
      </c>
      <c r="K51" s="40"/>
      <c r="L51" s="40"/>
      <c r="M51" s="40"/>
      <c r="N51" s="79" t="s">
        <v>134</v>
      </c>
      <c r="O51" s="67">
        <v>2</v>
      </c>
      <c r="P51" s="85">
        <f t="shared" si="2"/>
        <v>2.306805074971165E-3</v>
      </c>
      <c r="Q51" s="40"/>
      <c r="S51" s="36" t="s">
        <v>172</v>
      </c>
      <c r="T51" s="11">
        <v>1</v>
      </c>
      <c r="U51" s="33">
        <v>1.0893246187363835E-3</v>
      </c>
      <c r="V51" s="40"/>
      <c r="X51" s="259"/>
      <c r="Y51" s="278" t="s">
        <v>137</v>
      </c>
      <c r="Z51" s="279">
        <v>2</v>
      </c>
      <c r="AA51" s="269">
        <v>2.0790020790020791E-3</v>
      </c>
      <c r="AB51" s="259"/>
      <c r="AD51" s="260"/>
      <c r="AE51" s="278" t="s">
        <v>161</v>
      </c>
      <c r="AF51" s="279">
        <v>2</v>
      </c>
      <c r="AG51" s="269">
        <f t="shared" si="3"/>
        <v>2.0682523267838678E-3</v>
      </c>
      <c r="AH51" s="260"/>
      <c r="AJ51" s="260"/>
      <c r="AK51" s="278" t="s">
        <v>149</v>
      </c>
      <c r="AL51" s="279">
        <v>2</v>
      </c>
      <c r="AM51" s="269">
        <f t="shared" si="1"/>
        <v>2.4067388688327317E-3</v>
      </c>
      <c r="AN51" s="260"/>
    </row>
    <row r="52" spans="2:40" x14ac:dyDescent="0.25">
      <c r="B52" s="36" t="s">
        <v>138</v>
      </c>
      <c r="C52" s="11">
        <v>2</v>
      </c>
      <c r="D52" s="33">
        <f t="shared" si="0"/>
        <v>2.331002331002331E-3</v>
      </c>
      <c r="G52" s="40"/>
      <c r="H52" s="36" t="s">
        <v>149</v>
      </c>
      <c r="I52" s="11">
        <v>2</v>
      </c>
      <c r="J52" s="33">
        <v>2.2675736961451248E-3</v>
      </c>
      <c r="K52" s="40"/>
      <c r="L52" s="40"/>
      <c r="M52" s="40"/>
      <c r="N52" s="79" t="s">
        <v>158</v>
      </c>
      <c r="O52" s="67">
        <v>2</v>
      </c>
      <c r="P52" s="85">
        <f t="shared" si="2"/>
        <v>2.306805074971165E-3</v>
      </c>
      <c r="Q52" s="40"/>
      <c r="S52" s="36" t="s">
        <v>141</v>
      </c>
      <c r="T52" s="11">
        <v>1</v>
      </c>
      <c r="U52" s="33">
        <v>1.0893246187363835E-3</v>
      </c>
      <c r="V52" s="40"/>
      <c r="X52" s="259"/>
      <c r="Y52" s="278" t="s">
        <v>151</v>
      </c>
      <c r="Z52" s="279">
        <v>2</v>
      </c>
      <c r="AA52" s="269">
        <v>2.0790020790020791E-3</v>
      </c>
      <c r="AB52" s="259"/>
      <c r="AD52" s="260"/>
      <c r="AE52" s="278" t="s">
        <v>148</v>
      </c>
      <c r="AF52" s="279">
        <v>2</v>
      </c>
      <c r="AG52" s="269">
        <f t="shared" si="3"/>
        <v>2.0682523267838678E-3</v>
      </c>
      <c r="AH52" s="260"/>
      <c r="AJ52" s="260"/>
      <c r="AK52" s="278" t="s">
        <v>136</v>
      </c>
      <c r="AL52" s="279">
        <v>2</v>
      </c>
      <c r="AM52" s="269">
        <f t="shared" si="1"/>
        <v>2.4067388688327317E-3</v>
      </c>
      <c r="AN52" s="260"/>
    </row>
    <row r="53" spans="2:40" x14ac:dyDescent="0.25">
      <c r="B53" s="36" t="s">
        <v>139</v>
      </c>
      <c r="C53" s="11">
        <v>1</v>
      </c>
      <c r="D53" s="33">
        <f t="shared" si="0"/>
        <v>1.1655011655011655E-3</v>
      </c>
      <c r="G53" s="40"/>
      <c r="H53" s="36" t="s">
        <v>140</v>
      </c>
      <c r="I53" s="11">
        <v>2</v>
      </c>
      <c r="J53" s="33">
        <v>2.2675736961451248E-3</v>
      </c>
      <c r="K53" s="40"/>
      <c r="L53" s="40"/>
      <c r="M53" s="40"/>
      <c r="N53" s="79" t="s">
        <v>127</v>
      </c>
      <c r="O53" s="67">
        <v>2</v>
      </c>
      <c r="P53" s="85">
        <f t="shared" si="2"/>
        <v>2.306805074971165E-3</v>
      </c>
      <c r="Q53" s="40"/>
      <c r="S53" s="36" t="s">
        <v>123</v>
      </c>
      <c r="T53" s="11">
        <v>1</v>
      </c>
      <c r="U53" s="33">
        <v>1.0893246187363835E-3</v>
      </c>
      <c r="V53" s="40"/>
      <c r="X53" s="259"/>
      <c r="Y53" s="278" t="s">
        <v>119</v>
      </c>
      <c r="Z53" s="279">
        <v>2</v>
      </c>
      <c r="AA53" s="269">
        <v>2.0790020790020791E-3</v>
      </c>
      <c r="AB53" s="259"/>
      <c r="AD53" s="260"/>
      <c r="AE53" s="278" t="s">
        <v>137</v>
      </c>
      <c r="AF53" s="279">
        <v>2</v>
      </c>
      <c r="AG53" s="269">
        <f t="shared" si="3"/>
        <v>2.0682523267838678E-3</v>
      </c>
      <c r="AH53" s="260"/>
      <c r="AJ53" s="260"/>
      <c r="AK53" s="278" t="s">
        <v>152</v>
      </c>
      <c r="AL53" s="279">
        <v>2</v>
      </c>
      <c r="AM53" s="269">
        <f t="shared" si="1"/>
        <v>2.4067388688327317E-3</v>
      </c>
      <c r="AN53" s="260"/>
    </row>
    <row r="54" spans="2:40" x14ac:dyDescent="0.25">
      <c r="B54" s="36" t="s">
        <v>140</v>
      </c>
      <c r="C54" s="11">
        <v>1</v>
      </c>
      <c r="D54" s="33">
        <f t="shared" si="0"/>
        <v>1.1655011655011655E-3</v>
      </c>
      <c r="G54" s="40"/>
      <c r="H54" s="36" t="s">
        <v>158</v>
      </c>
      <c r="I54" s="11">
        <v>2</v>
      </c>
      <c r="J54" s="33">
        <v>2.2675736961451248E-3</v>
      </c>
      <c r="K54" s="40"/>
      <c r="L54" s="40"/>
      <c r="M54" s="40"/>
      <c r="N54" s="79" t="s">
        <v>106</v>
      </c>
      <c r="O54" s="67">
        <v>2</v>
      </c>
      <c r="P54" s="85">
        <f t="shared" si="2"/>
        <v>2.306805074971165E-3</v>
      </c>
      <c r="Q54" s="40"/>
      <c r="S54" s="36" t="s">
        <v>132</v>
      </c>
      <c r="T54" s="11">
        <v>1</v>
      </c>
      <c r="U54" s="33">
        <v>1.0893246187363835E-3</v>
      </c>
      <c r="V54" s="40"/>
      <c r="X54" s="259"/>
      <c r="Y54" s="278" t="s">
        <v>344</v>
      </c>
      <c r="Z54" s="279">
        <v>2</v>
      </c>
      <c r="AA54" s="269">
        <v>2.0790020790020791E-3</v>
      </c>
      <c r="AB54" s="259"/>
      <c r="AD54" s="260"/>
      <c r="AE54" s="278" t="s">
        <v>115</v>
      </c>
      <c r="AF54" s="279">
        <v>2</v>
      </c>
      <c r="AG54" s="269">
        <f t="shared" si="3"/>
        <v>2.0682523267838678E-3</v>
      </c>
      <c r="AH54" s="260"/>
      <c r="AJ54" s="260"/>
      <c r="AK54" s="278" t="s">
        <v>119</v>
      </c>
      <c r="AL54" s="279">
        <v>1</v>
      </c>
      <c r="AM54" s="269">
        <f t="shared" si="1"/>
        <v>1.2033694344163659E-3</v>
      </c>
      <c r="AN54" s="260"/>
    </row>
    <row r="55" spans="2:40" x14ac:dyDescent="0.25">
      <c r="B55" s="36" t="s">
        <v>141</v>
      </c>
      <c r="C55" s="11">
        <v>1</v>
      </c>
      <c r="D55" s="33">
        <f t="shared" si="0"/>
        <v>1.1655011655011655E-3</v>
      </c>
      <c r="G55" s="40"/>
      <c r="H55" s="36" t="s">
        <v>145</v>
      </c>
      <c r="I55" s="11">
        <v>2</v>
      </c>
      <c r="J55" s="33">
        <v>2.2675736961451248E-3</v>
      </c>
      <c r="K55" s="40"/>
      <c r="L55" s="40"/>
      <c r="M55" s="40"/>
      <c r="N55" s="79" t="s">
        <v>131</v>
      </c>
      <c r="O55" s="67">
        <v>2</v>
      </c>
      <c r="P55" s="85">
        <f t="shared" si="2"/>
        <v>2.306805074971165E-3</v>
      </c>
      <c r="Q55" s="40"/>
      <c r="S55" s="36" t="s">
        <v>161</v>
      </c>
      <c r="T55" s="11">
        <v>1</v>
      </c>
      <c r="U55" s="33">
        <v>1.0893246187363835E-3</v>
      </c>
      <c r="V55" s="40"/>
      <c r="X55" s="259"/>
      <c r="Y55" s="278" t="s">
        <v>133</v>
      </c>
      <c r="Z55" s="279">
        <v>2</v>
      </c>
      <c r="AA55" s="269">
        <v>2.0790020790020791E-3</v>
      </c>
      <c r="AB55" s="259"/>
      <c r="AD55" s="260"/>
      <c r="AE55" s="278" t="s">
        <v>160</v>
      </c>
      <c r="AF55" s="279">
        <v>2</v>
      </c>
      <c r="AG55" s="269">
        <f t="shared" si="3"/>
        <v>2.0682523267838678E-3</v>
      </c>
      <c r="AH55" s="260"/>
      <c r="AJ55" s="260"/>
      <c r="AK55" s="278" t="s">
        <v>126</v>
      </c>
      <c r="AL55" s="279">
        <v>1</v>
      </c>
      <c r="AM55" s="269">
        <f t="shared" si="1"/>
        <v>1.2033694344163659E-3</v>
      </c>
      <c r="AN55" s="260"/>
    </row>
    <row r="56" spans="2:40" x14ac:dyDescent="0.25">
      <c r="B56" s="36" t="s">
        <v>142</v>
      </c>
      <c r="C56" s="11">
        <v>1</v>
      </c>
      <c r="D56" s="33">
        <f t="shared" si="0"/>
        <v>1.1655011655011655E-3</v>
      </c>
      <c r="G56" s="40"/>
      <c r="H56" s="36" t="s">
        <v>159</v>
      </c>
      <c r="I56" s="11">
        <v>2</v>
      </c>
      <c r="J56" s="33">
        <v>2.2675736961451248E-3</v>
      </c>
      <c r="K56" s="40"/>
      <c r="L56" s="40"/>
      <c r="M56" s="40"/>
      <c r="N56" s="79" t="s">
        <v>121</v>
      </c>
      <c r="O56" s="67">
        <v>2</v>
      </c>
      <c r="P56" s="85">
        <f t="shared" si="2"/>
        <v>2.306805074971165E-3</v>
      </c>
      <c r="Q56" s="40"/>
      <c r="S56" s="36" t="s">
        <v>177</v>
      </c>
      <c r="T56" s="11">
        <v>1</v>
      </c>
      <c r="U56" s="33">
        <v>1.0893246187363835E-3</v>
      </c>
      <c r="V56" s="40"/>
      <c r="X56" s="259"/>
      <c r="Y56" s="278" t="s">
        <v>131</v>
      </c>
      <c r="Z56" s="279">
        <v>2</v>
      </c>
      <c r="AA56" s="269">
        <v>2.0790020790020791E-3</v>
      </c>
      <c r="AB56" s="259"/>
      <c r="AD56" s="260"/>
      <c r="AE56" s="278" t="s">
        <v>152</v>
      </c>
      <c r="AF56" s="279">
        <v>2</v>
      </c>
      <c r="AG56" s="269">
        <f t="shared" si="3"/>
        <v>2.0682523267838678E-3</v>
      </c>
      <c r="AH56" s="260"/>
      <c r="AJ56" s="260"/>
      <c r="AK56" s="278" t="s">
        <v>161</v>
      </c>
      <c r="AL56" s="279">
        <v>1</v>
      </c>
      <c r="AM56" s="269">
        <f t="shared" si="1"/>
        <v>1.2033694344163659E-3</v>
      </c>
      <c r="AN56" s="260"/>
    </row>
    <row r="57" spans="2:40" x14ac:dyDescent="0.25">
      <c r="B57" s="36" t="s">
        <v>143</v>
      </c>
      <c r="C57" s="11">
        <v>1</v>
      </c>
      <c r="D57" s="33">
        <f t="shared" si="0"/>
        <v>1.1655011655011655E-3</v>
      </c>
      <c r="G57" s="40"/>
      <c r="H57" s="36" t="s">
        <v>153</v>
      </c>
      <c r="I57" s="11">
        <v>1</v>
      </c>
      <c r="J57" s="33">
        <v>1.1337868480725624E-3</v>
      </c>
      <c r="K57" s="40"/>
      <c r="L57" s="40"/>
      <c r="M57" s="40"/>
      <c r="N57" s="79" t="s">
        <v>149</v>
      </c>
      <c r="O57" s="67">
        <v>2</v>
      </c>
      <c r="P57" s="85">
        <f t="shared" si="2"/>
        <v>2.306805074971165E-3</v>
      </c>
      <c r="Q57" s="40"/>
      <c r="S57" s="36" t="s">
        <v>122</v>
      </c>
      <c r="T57" s="11">
        <v>1</v>
      </c>
      <c r="U57" s="33">
        <v>1.0893246187363835E-3</v>
      </c>
      <c r="V57" s="40"/>
      <c r="X57" s="259"/>
      <c r="Y57" s="278" t="s">
        <v>161</v>
      </c>
      <c r="Z57" s="279">
        <v>2</v>
      </c>
      <c r="AA57" s="269">
        <v>2.0790020790020791E-3</v>
      </c>
      <c r="AB57" s="259"/>
      <c r="AD57" s="260"/>
      <c r="AE57" s="278" t="s">
        <v>127</v>
      </c>
      <c r="AF57" s="279">
        <v>1</v>
      </c>
      <c r="AG57" s="269">
        <f t="shared" si="3"/>
        <v>1.0341261633919339E-3</v>
      </c>
      <c r="AH57" s="260"/>
      <c r="AJ57" s="260"/>
      <c r="AK57" s="278" t="s">
        <v>160</v>
      </c>
      <c r="AL57" s="279">
        <v>1</v>
      </c>
      <c r="AM57" s="269">
        <f t="shared" si="1"/>
        <v>1.2033694344163659E-3</v>
      </c>
      <c r="AN57" s="260"/>
    </row>
    <row r="58" spans="2:40" x14ac:dyDescent="0.25">
      <c r="B58" s="36" t="s">
        <v>144</v>
      </c>
      <c r="C58" s="11">
        <v>1</v>
      </c>
      <c r="D58" s="33">
        <f t="shared" si="0"/>
        <v>1.1655011655011655E-3</v>
      </c>
      <c r="G58" s="40"/>
      <c r="H58" s="36" t="s">
        <v>141</v>
      </c>
      <c r="I58" s="11">
        <v>1</v>
      </c>
      <c r="J58" s="33">
        <v>1.1337868480725624E-3</v>
      </c>
      <c r="K58" s="40"/>
      <c r="L58" s="40"/>
      <c r="M58" s="40"/>
      <c r="N58" s="79" t="s">
        <v>140</v>
      </c>
      <c r="O58" s="67">
        <v>2</v>
      </c>
      <c r="P58" s="85">
        <f t="shared" si="2"/>
        <v>2.306805074971165E-3</v>
      </c>
      <c r="Q58" s="40"/>
      <c r="S58" s="36" t="s">
        <v>134</v>
      </c>
      <c r="T58" s="11">
        <v>1</v>
      </c>
      <c r="U58" s="33">
        <v>1.0893246187363835E-3</v>
      </c>
      <c r="V58" s="40"/>
      <c r="X58" s="259"/>
      <c r="Y58" s="278" t="s">
        <v>157</v>
      </c>
      <c r="Z58" s="279">
        <v>1</v>
      </c>
      <c r="AA58" s="269">
        <v>1.0395010395010396E-3</v>
      </c>
      <c r="AB58" s="259"/>
      <c r="AD58" s="260"/>
      <c r="AE58" s="278" t="s">
        <v>134</v>
      </c>
      <c r="AF58" s="279">
        <v>1</v>
      </c>
      <c r="AG58" s="269">
        <f t="shared" si="3"/>
        <v>1.0341261633919339E-3</v>
      </c>
      <c r="AH58" s="260"/>
      <c r="AJ58" s="260"/>
      <c r="AK58" s="278" t="s">
        <v>127</v>
      </c>
      <c r="AL58" s="279">
        <v>1</v>
      </c>
      <c r="AM58" s="269">
        <f t="shared" si="1"/>
        <v>1.2033694344163659E-3</v>
      </c>
      <c r="AN58" s="260"/>
    </row>
    <row r="59" spans="2:40" x14ac:dyDescent="0.25">
      <c r="B59" s="36" t="s">
        <v>145</v>
      </c>
      <c r="C59" s="11">
        <v>1</v>
      </c>
      <c r="D59" s="33">
        <f t="shared" si="0"/>
        <v>1.1655011655011655E-3</v>
      </c>
      <c r="G59" s="40"/>
      <c r="H59" s="36" t="s">
        <v>133</v>
      </c>
      <c r="I59" s="11">
        <v>1</v>
      </c>
      <c r="J59" s="33">
        <v>1.1337868480725624E-3</v>
      </c>
      <c r="K59" s="40"/>
      <c r="L59" s="40"/>
      <c r="M59" s="40"/>
      <c r="N59" s="79" t="s">
        <v>142</v>
      </c>
      <c r="O59" s="67">
        <v>1</v>
      </c>
      <c r="P59" s="85">
        <f t="shared" si="2"/>
        <v>1.1534025374855825E-3</v>
      </c>
      <c r="Q59" s="40"/>
      <c r="S59" s="36" t="s">
        <v>178</v>
      </c>
      <c r="T59" s="11">
        <v>1</v>
      </c>
      <c r="U59" s="33">
        <v>1.0893246187363835E-3</v>
      </c>
      <c r="V59" s="40"/>
      <c r="X59" s="259"/>
      <c r="Y59" s="278" t="s">
        <v>142</v>
      </c>
      <c r="Z59" s="279">
        <v>1</v>
      </c>
      <c r="AA59" s="269">
        <v>1.0395010395010396E-3</v>
      </c>
      <c r="AB59" s="259"/>
      <c r="AD59" s="260"/>
      <c r="AE59" s="278" t="s">
        <v>139</v>
      </c>
      <c r="AF59" s="279">
        <v>1</v>
      </c>
      <c r="AG59" s="269">
        <f t="shared" si="3"/>
        <v>1.0341261633919339E-3</v>
      </c>
      <c r="AH59" s="260"/>
      <c r="AJ59" s="260"/>
      <c r="AK59" s="278" t="s">
        <v>113</v>
      </c>
      <c r="AL59" s="279">
        <v>1</v>
      </c>
      <c r="AM59" s="269">
        <f t="shared" si="1"/>
        <v>1.2033694344163659E-3</v>
      </c>
      <c r="AN59" s="260"/>
    </row>
    <row r="60" spans="2:40" x14ac:dyDescent="0.25">
      <c r="B60" s="36" t="s">
        <v>146</v>
      </c>
      <c r="C60" s="11">
        <v>1</v>
      </c>
      <c r="D60" s="33">
        <f t="shared" si="0"/>
        <v>1.1655011655011655E-3</v>
      </c>
      <c r="G60" s="40"/>
      <c r="H60" s="36" t="s">
        <v>160</v>
      </c>
      <c r="I60" s="11">
        <v>1</v>
      </c>
      <c r="J60" s="33">
        <v>1.1337868480725624E-3</v>
      </c>
      <c r="K60" s="40"/>
      <c r="L60" s="40"/>
      <c r="M60" s="40"/>
      <c r="N60" s="79" t="s">
        <v>141</v>
      </c>
      <c r="O60" s="67">
        <v>1</v>
      </c>
      <c r="P60" s="85">
        <f t="shared" si="2"/>
        <v>1.1534025374855825E-3</v>
      </c>
      <c r="Q60" s="40"/>
      <c r="S60" s="36" t="s">
        <v>151</v>
      </c>
      <c r="T60" s="11">
        <v>1</v>
      </c>
      <c r="U60" s="33">
        <v>1.0893246187363835E-3</v>
      </c>
      <c r="V60" s="40"/>
      <c r="X60" s="259"/>
      <c r="Y60" s="278" t="s">
        <v>136</v>
      </c>
      <c r="Z60" s="279">
        <v>1</v>
      </c>
      <c r="AA60" s="269">
        <v>1.0395010395010396E-3</v>
      </c>
      <c r="AB60" s="259"/>
      <c r="AD60" s="260"/>
      <c r="AE60" s="278" t="s">
        <v>147</v>
      </c>
      <c r="AF60" s="279">
        <v>1</v>
      </c>
      <c r="AG60" s="269">
        <f t="shared" si="3"/>
        <v>1.0341261633919339E-3</v>
      </c>
      <c r="AH60" s="260"/>
      <c r="AJ60" s="260"/>
      <c r="AK60" s="278" t="s">
        <v>142</v>
      </c>
      <c r="AL60" s="279">
        <v>1</v>
      </c>
      <c r="AM60" s="269">
        <f t="shared" si="1"/>
        <v>1.2033694344163659E-3</v>
      </c>
      <c r="AN60" s="260"/>
    </row>
    <row r="61" spans="2:40" x14ac:dyDescent="0.25">
      <c r="B61" s="36" t="s">
        <v>147</v>
      </c>
      <c r="C61" s="11">
        <v>1</v>
      </c>
      <c r="D61" s="33">
        <f t="shared" si="0"/>
        <v>1.1655011655011655E-3</v>
      </c>
      <c r="G61" s="40"/>
      <c r="H61" s="36" t="s">
        <v>127</v>
      </c>
      <c r="I61" s="11">
        <v>1</v>
      </c>
      <c r="J61" s="33">
        <v>1.1337868480725624E-3</v>
      </c>
      <c r="K61" s="40"/>
      <c r="L61" s="40"/>
      <c r="M61" s="40"/>
      <c r="N61" s="79" t="s">
        <v>171</v>
      </c>
      <c r="O61" s="67">
        <v>1</v>
      </c>
      <c r="P61" s="85">
        <f t="shared" si="2"/>
        <v>1.1534025374855825E-3</v>
      </c>
      <c r="Q61" s="40"/>
      <c r="S61" s="36" t="s">
        <v>130</v>
      </c>
      <c r="T61" s="11">
        <v>1</v>
      </c>
      <c r="U61" s="33">
        <v>1.0893246187363835E-3</v>
      </c>
      <c r="V61" s="40"/>
      <c r="X61" s="259"/>
      <c r="Y61" s="278" t="s">
        <v>160</v>
      </c>
      <c r="Z61" s="279">
        <v>1</v>
      </c>
      <c r="AA61" s="269">
        <v>1.0395010395010396E-3</v>
      </c>
      <c r="AB61" s="259"/>
      <c r="AD61" s="260"/>
      <c r="AE61" s="278" t="s">
        <v>138</v>
      </c>
      <c r="AF61" s="279">
        <v>1</v>
      </c>
      <c r="AG61" s="269">
        <f t="shared" si="3"/>
        <v>1.0341261633919339E-3</v>
      </c>
      <c r="AH61" s="260"/>
      <c r="AJ61" s="260"/>
      <c r="AK61" s="278" t="s">
        <v>149</v>
      </c>
      <c r="AL61" s="279">
        <v>1</v>
      </c>
      <c r="AM61" s="269">
        <f t="shared" si="1"/>
        <v>1.2033694344163659E-3</v>
      </c>
      <c r="AN61" s="260"/>
    </row>
    <row r="62" spans="2:40" x14ac:dyDescent="0.25">
      <c r="B62" s="36" t="s">
        <v>148</v>
      </c>
      <c r="C62" s="11">
        <v>1</v>
      </c>
      <c r="D62" s="33">
        <f t="shared" si="0"/>
        <v>1.1655011655011655E-3</v>
      </c>
      <c r="G62" s="40"/>
      <c r="H62" s="36" t="s">
        <v>152</v>
      </c>
      <c r="I62" s="11">
        <v>1</v>
      </c>
      <c r="J62" s="33">
        <v>1.1337868480725624E-3</v>
      </c>
      <c r="K62" s="40"/>
      <c r="L62" s="40"/>
      <c r="M62" s="40"/>
      <c r="N62" s="79" t="s">
        <v>172</v>
      </c>
      <c r="O62" s="67">
        <v>1</v>
      </c>
      <c r="P62" s="85">
        <f t="shared" si="2"/>
        <v>1.1534025374855825E-3</v>
      </c>
      <c r="Q62" s="40"/>
      <c r="S62" s="36" t="s">
        <v>137</v>
      </c>
      <c r="T62" s="11">
        <v>1</v>
      </c>
      <c r="U62" s="33">
        <v>1.0893246187363835E-3</v>
      </c>
      <c r="V62" s="40"/>
      <c r="X62" s="259"/>
      <c r="Y62" s="278" t="s">
        <v>149</v>
      </c>
      <c r="Z62" s="279">
        <v>1</v>
      </c>
      <c r="AA62" s="269">
        <v>1.0395010395010396E-3</v>
      </c>
      <c r="AB62" s="259"/>
      <c r="AD62" s="260"/>
      <c r="AE62" s="278" t="s">
        <v>151</v>
      </c>
      <c r="AF62" s="279">
        <v>1</v>
      </c>
      <c r="AG62" s="269">
        <f t="shared" si="3"/>
        <v>1.0341261633919339E-3</v>
      </c>
      <c r="AH62" s="260"/>
      <c r="AJ62" s="260"/>
      <c r="AK62" s="278" t="s">
        <v>133</v>
      </c>
      <c r="AL62" s="279">
        <v>1</v>
      </c>
      <c r="AM62" s="269">
        <f t="shared" si="1"/>
        <v>1.2033694344163659E-3</v>
      </c>
      <c r="AN62" s="260"/>
    </row>
    <row r="63" spans="2:40" x14ac:dyDescent="0.25">
      <c r="B63" s="36" t="s">
        <v>149</v>
      </c>
      <c r="C63" s="11">
        <v>1</v>
      </c>
      <c r="D63" s="33">
        <f t="shared" si="0"/>
        <v>1.1655011655011655E-3</v>
      </c>
      <c r="G63" s="40"/>
      <c r="H63" s="36" t="s">
        <v>132</v>
      </c>
      <c r="I63" s="11">
        <v>1</v>
      </c>
      <c r="J63" s="33">
        <v>1.1337868480725624E-3</v>
      </c>
      <c r="K63" s="40"/>
      <c r="L63" s="40"/>
      <c r="M63" s="40"/>
      <c r="N63" s="79" t="s">
        <v>151</v>
      </c>
      <c r="O63" s="67">
        <v>1</v>
      </c>
      <c r="P63" s="85">
        <f t="shared" si="2"/>
        <v>1.1534025374855825E-3</v>
      </c>
      <c r="Q63" s="40"/>
      <c r="S63" s="36" t="s">
        <v>124</v>
      </c>
      <c r="T63" s="11">
        <v>1</v>
      </c>
      <c r="U63" s="33">
        <v>1.0893246187363835E-3</v>
      </c>
      <c r="V63" s="40"/>
      <c r="X63" s="259"/>
      <c r="Y63" s="278" t="s">
        <v>172</v>
      </c>
      <c r="Z63" s="279">
        <v>1</v>
      </c>
      <c r="AA63" s="269">
        <v>1.0395010395010396E-3</v>
      </c>
      <c r="AB63" s="259"/>
      <c r="AD63" s="260"/>
      <c r="AE63" s="278" t="s">
        <v>150</v>
      </c>
      <c r="AF63" s="279">
        <v>1</v>
      </c>
      <c r="AG63" s="269">
        <f t="shared" si="3"/>
        <v>1.0341261633919339E-3</v>
      </c>
      <c r="AH63" s="260"/>
      <c r="AJ63" s="260"/>
      <c r="AK63" s="278" t="s">
        <v>134</v>
      </c>
      <c r="AL63" s="279">
        <v>1</v>
      </c>
      <c r="AM63" s="269">
        <f t="shared" si="1"/>
        <v>1.2033694344163659E-3</v>
      </c>
      <c r="AN63" s="260"/>
    </row>
    <row r="64" spans="2:40" x14ac:dyDescent="0.25">
      <c r="B64" s="36" t="s">
        <v>150</v>
      </c>
      <c r="C64" s="11">
        <v>1</v>
      </c>
      <c r="D64" s="33">
        <f t="shared" si="0"/>
        <v>1.1655011655011655E-3</v>
      </c>
      <c r="G64" s="40"/>
      <c r="H64" s="36" t="s">
        <v>161</v>
      </c>
      <c r="I64" s="11">
        <v>1</v>
      </c>
      <c r="J64" s="33">
        <v>1.1337868480725624E-3</v>
      </c>
      <c r="K64" s="40"/>
      <c r="L64" s="40"/>
      <c r="M64" s="40"/>
      <c r="N64" s="79" t="s">
        <v>173</v>
      </c>
      <c r="O64" s="67">
        <v>1</v>
      </c>
      <c r="P64" s="85">
        <f t="shared" si="2"/>
        <v>1.1534025374855825E-3</v>
      </c>
      <c r="Q64" s="40"/>
      <c r="S64" s="36" t="s">
        <v>144</v>
      </c>
      <c r="T64" s="11">
        <v>1</v>
      </c>
      <c r="U64" s="33">
        <v>1.0893246187363835E-3</v>
      </c>
      <c r="V64" s="40"/>
      <c r="X64" s="259"/>
      <c r="Y64" s="278" t="s">
        <v>147</v>
      </c>
      <c r="Z64" s="279">
        <v>1</v>
      </c>
      <c r="AA64" s="269">
        <v>1.0395010395010396E-3</v>
      </c>
      <c r="AB64" s="259"/>
      <c r="AD64" s="260"/>
      <c r="AE64" s="278" t="s">
        <v>135</v>
      </c>
      <c r="AF64" s="279">
        <v>1</v>
      </c>
      <c r="AG64" s="269">
        <f t="shared" si="3"/>
        <v>1.0341261633919339E-3</v>
      </c>
      <c r="AH64" s="260"/>
      <c r="AJ64" s="260"/>
      <c r="AK64" s="278" t="s">
        <v>129</v>
      </c>
      <c r="AL64" s="279">
        <v>1</v>
      </c>
      <c r="AM64" s="269">
        <f t="shared" si="1"/>
        <v>1.2033694344163659E-3</v>
      </c>
      <c r="AN64" s="260"/>
    </row>
    <row r="65" spans="2:40" x14ac:dyDescent="0.25">
      <c r="B65" s="36" t="s">
        <v>151</v>
      </c>
      <c r="C65" s="11">
        <v>1</v>
      </c>
      <c r="D65" s="33">
        <f t="shared" si="0"/>
        <v>1.1655011655011655E-3</v>
      </c>
      <c r="G65" s="40"/>
      <c r="H65" s="36" t="s">
        <v>134</v>
      </c>
      <c r="I65" s="11">
        <v>1</v>
      </c>
      <c r="J65" s="33">
        <v>1.1337868480725624E-3</v>
      </c>
      <c r="K65" s="40"/>
      <c r="L65" s="40"/>
      <c r="M65" s="40"/>
      <c r="N65" s="79" t="s">
        <v>132</v>
      </c>
      <c r="O65" s="67">
        <v>1</v>
      </c>
      <c r="P65" s="85">
        <f t="shared" si="2"/>
        <v>1.1534025374855825E-3</v>
      </c>
      <c r="Q65" s="40"/>
      <c r="X65" s="259"/>
      <c r="Y65" s="278" t="s">
        <v>144</v>
      </c>
      <c r="Z65" s="279">
        <v>1</v>
      </c>
      <c r="AA65" s="269">
        <v>1.0395010395010396E-3</v>
      </c>
      <c r="AB65" s="259"/>
      <c r="AD65" s="260"/>
      <c r="AE65" s="278" t="s">
        <v>143</v>
      </c>
      <c r="AF65" s="279">
        <v>1</v>
      </c>
      <c r="AG65" s="269">
        <f t="shared" si="3"/>
        <v>1.0341261633919339E-3</v>
      </c>
      <c r="AH65" s="260"/>
      <c r="AJ65" s="260"/>
      <c r="AK65" s="278" t="s">
        <v>409</v>
      </c>
      <c r="AL65" s="279">
        <v>1</v>
      </c>
      <c r="AM65" s="269">
        <f t="shared" si="1"/>
        <v>1.2033694344163659E-3</v>
      </c>
      <c r="AN65" s="260"/>
    </row>
    <row r="66" spans="2:40" x14ac:dyDescent="0.25">
      <c r="B66" s="36" t="s">
        <v>152</v>
      </c>
      <c r="C66" s="11">
        <v>1</v>
      </c>
      <c r="D66" s="33">
        <f t="shared" si="0"/>
        <v>1.1655011655011655E-3</v>
      </c>
      <c r="L66" s="40"/>
      <c r="M66" s="40"/>
      <c r="N66" s="79" t="s">
        <v>133</v>
      </c>
      <c r="O66" s="67">
        <v>1</v>
      </c>
      <c r="P66" s="85">
        <f t="shared" si="2"/>
        <v>1.1534025374855825E-3</v>
      </c>
      <c r="Q66" s="40"/>
      <c r="X66" s="259"/>
      <c r="Y66" s="278" t="s">
        <v>139</v>
      </c>
      <c r="Z66" s="279">
        <v>1</v>
      </c>
      <c r="AA66" s="269">
        <v>1.0395010395010396E-3</v>
      </c>
      <c r="AB66" s="259"/>
      <c r="AD66" s="260"/>
      <c r="AE66" s="278" t="s">
        <v>157</v>
      </c>
      <c r="AF66" s="279">
        <v>1</v>
      </c>
      <c r="AG66" s="269">
        <f t="shared" si="3"/>
        <v>1.0341261633919339E-3</v>
      </c>
      <c r="AH66" s="260"/>
    </row>
    <row r="67" spans="2:40" ht="15.75" thickBot="1" x14ac:dyDescent="0.3">
      <c r="B67" s="36" t="s">
        <v>153</v>
      </c>
      <c r="C67" s="11">
        <v>1</v>
      </c>
      <c r="D67" s="33">
        <f t="shared" si="0"/>
        <v>1.1655011655011655E-3</v>
      </c>
      <c r="M67" s="40"/>
      <c r="N67" s="78" t="s">
        <v>153</v>
      </c>
      <c r="O67" s="68">
        <v>1</v>
      </c>
      <c r="P67" s="88">
        <f t="shared" si="2"/>
        <v>1.1534025374855825E-3</v>
      </c>
      <c r="Q67" s="40"/>
      <c r="X67" s="259"/>
      <c r="Y67" s="278" t="s">
        <v>155</v>
      </c>
      <c r="Z67" s="279">
        <v>1</v>
      </c>
      <c r="AA67" s="269">
        <v>1.0395010395010396E-3</v>
      </c>
      <c r="AB67" s="259"/>
      <c r="AD67" s="260"/>
      <c r="AE67" s="278" t="s">
        <v>176</v>
      </c>
      <c r="AF67" s="279">
        <v>1</v>
      </c>
      <c r="AG67" s="269">
        <f t="shared" si="3"/>
        <v>1.0341261633919339E-3</v>
      </c>
      <c r="AH67" s="260"/>
    </row>
    <row r="68" spans="2:40" ht="15.75" thickTop="1" x14ac:dyDescent="0.25">
      <c r="B68" s="36" t="s">
        <v>154</v>
      </c>
      <c r="C68" s="11">
        <v>1</v>
      </c>
      <c r="D68" s="33">
        <f t="shared" si="0"/>
        <v>1.1655011655011655E-3</v>
      </c>
      <c r="AE68" s="278" t="s">
        <v>383</v>
      </c>
      <c r="AF68" s="279">
        <v>1</v>
      </c>
      <c r="AG68" s="269">
        <f t="shared" si="3"/>
        <v>1.0341261633919339E-3</v>
      </c>
    </row>
    <row r="69" spans="2:40" x14ac:dyDescent="0.25">
      <c r="B69" s="36" t="s">
        <v>155</v>
      </c>
      <c r="C69" s="11">
        <v>1</v>
      </c>
      <c r="D69" s="33">
        <f t="shared" si="0"/>
        <v>1.1655011655011655E-3</v>
      </c>
    </row>
  </sheetData>
  <mergeCells count="21">
    <mergeCell ref="AK5:AM5"/>
    <mergeCell ref="AK6:AM6"/>
    <mergeCell ref="AN10:AN12"/>
    <mergeCell ref="V10:V12"/>
    <mergeCell ref="Q10:Q12"/>
    <mergeCell ref="AE5:AG5"/>
    <mergeCell ref="AE6:AG6"/>
    <mergeCell ref="AH10:AH12"/>
    <mergeCell ref="Y5:AA5"/>
    <mergeCell ref="Y6:AA6"/>
    <mergeCell ref="AB10:AB12"/>
    <mergeCell ref="K10:K12"/>
    <mergeCell ref="E10:E12"/>
    <mergeCell ref="S5:U5"/>
    <mergeCell ref="S6:U6"/>
    <mergeCell ref="B6:D6"/>
    <mergeCell ref="B7:D7"/>
    <mergeCell ref="H6:J6"/>
    <mergeCell ref="H7:J7"/>
    <mergeCell ref="N6:P6"/>
    <mergeCell ref="N7:P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99"/>
  </sheetPr>
  <dimension ref="A1:AA54"/>
  <sheetViews>
    <sheetView topLeftCell="A10" zoomScale="60" zoomScaleNormal="60" workbookViewId="0">
      <selection activeCell="AA26" sqref="AA26"/>
    </sheetView>
  </sheetViews>
  <sheetFormatPr baseColWidth="10" defaultRowHeight="15" x14ac:dyDescent="0.25"/>
  <cols>
    <col min="1" max="1" width="13.5703125" style="40" customWidth="1"/>
    <col min="2" max="2" width="21.140625" style="40" customWidth="1"/>
    <col min="3" max="3" width="10.140625" style="40" bestFit="1" customWidth="1"/>
    <col min="4" max="4" width="9.7109375" style="40" customWidth="1"/>
    <col min="5" max="5" width="8.42578125" style="40" customWidth="1"/>
    <col min="6" max="6" width="8.85546875" style="40" customWidth="1"/>
    <col min="7" max="7" width="11.7109375" style="40" customWidth="1"/>
    <col min="8" max="8" width="12.85546875" style="40" customWidth="1"/>
    <col min="9" max="9" width="9.140625" style="40" customWidth="1"/>
    <col min="10" max="10" width="11.42578125" style="40" customWidth="1"/>
    <col min="11" max="11" width="7.85546875" style="40" customWidth="1"/>
    <col min="12" max="12" width="9.28515625" style="40" customWidth="1"/>
    <col min="13" max="13" width="10" style="40" customWidth="1"/>
    <col min="14" max="14" width="9.140625" style="40" customWidth="1"/>
    <col min="15" max="16" width="10.5703125" style="40" customWidth="1"/>
    <col min="17" max="17" width="13.140625" style="40" customWidth="1"/>
    <col min="18" max="18" width="9.140625" style="40" customWidth="1"/>
    <col min="19" max="19" width="10" style="40" customWidth="1"/>
    <col min="20" max="20" width="10.28515625" style="40" customWidth="1"/>
    <col min="21" max="21" width="12" style="40" customWidth="1"/>
    <col min="22" max="22" width="12.140625" style="40" customWidth="1"/>
    <col min="23" max="23" width="11" style="40" customWidth="1"/>
    <col min="24" max="24" width="4.42578125" style="9" customWidth="1"/>
    <col min="25" max="25" width="16.7109375" style="40" customWidth="1"/>
    <col min="26" max="26" width="15.5703125" style="40" customWidth="1"/>
    <col min="27" max="27" width="15.28515625" style="40" customWidth="1"/>
    <col min="28" max="16384" width="11.42578125" style="40"/>
  </cols>
  <sheetData>
    <row r="1" spans="1:23" x14ac:dyDescent="0.25">
      <c r="A1" s="2" t="s">
        <v>15</v>
      </c>
      <c r="B1" s="3"/>
      <c r="C1" s="3"/>
      <c r="D1" s="4"/>
      <c r="E1" s="4"/>
      <c r="F1" s="4"/>
      <c r="G1" s="4"/>
      <c r="H1" s="4"/>
      <c r="I1" s="4"/>
    </row>
    <row r="2" spans="1:23" x14ac:dyDescent="0.25">
      <c r="A2" s="2" t="s">
        <v>16</v>
      </c>
      <c r="B2" s="3"/>
      <c r="C2" s="3"/>
      <c r="D2" s="4"/>
      <c r="E2" s="4"/>
      <c r="F2" s="4"/>
      <c r="G2" s="4"/>
      <c r="H2" s="4"/>
      <c r="I2" s="4"/>
    </row>
    <row r="3" spans="1:23" x14ac:dyDescent="0.25">
      <c r="A3" s="2" t="s">
        <v>17</v>
      </c>
      <c r="B3" s="3"/>
      <c r="C3" s="3"/>
      <c r="D3" s="4"/>
      <c r="E3" s="4"/>
      <c r="F3" s="4"/>
      <c r="G3" s="4"/>
      <c r="H3" s="4"/>
      <c r="I3" s="4"/>
    </row>
    <row r="4" spans="1:23" x14ac:dyDescent="0.25">
      <c r="A4" s="2" t="s">
        <v>18</v>
      </c>
      <c r="B4" s="3"/>
      <c r="C4" s="3"/>
      <c r="D4" s="4"/>
      <c r="E4" s="4"/>
      <c r="F4" s="4"/>
      <c r="G4" s="4"/>
      <c r="H4" s="4"/>
      <c r="I4" s="4"/>
    </row>
    <row r="5" spans="1:23" x14ac:dyDescent="0.25">
      <c r="A5" s="4"/>
      <c r="B5" s="3"/>
      <c r="C5" s="3"/>
      <c r="D5" s="4"/>
      <c r="E5" s="4"/>
      <c r="F5" s="4"/>
      <c r="G5" s="4"/>
      <c r="H5" s="4"/>
      <c r="I5" s="4"/>
    </row>
    <row r="6" spans="1:23" ht="15" customHeight="1" x14ac:dyDescent="0.25">
      <c r="A6" s="780" t="s">
        <v>19</v>
      </c>
      <c r="B6" s="780"/>
      <c r="C6" s="780"/>
      <c r="D6" s="780"/>
      <c r="E6" s="780"/>
      <c r="F6" s="780"/>
      <c r="G6" s="780"/>
      <c r="H6" s="780"/>
      <c r="I6" s="780"/>
      <c r="J6" s="780"/>
      <c r="K6" s="780"/>
      <c r="L6" s="780"/>
      <c r="M6" s="780"/>
      <c r="N6" s="780"/>
      <c r="O6" s="780"/>
      <c r="P6" s="780"/>
      <c r="Q6" s="780"/>
      <c r="R6" s="780"/>
      <c r="S6" s="780"/>
      <c r="T6" s="780"/>
      <c r="U6" s="780"/>
      <c r="V6" s="780"/>
    </row>
    <row r="7" spans="1:23" x14ac:dyDescent="0.25">
      <c r="A7" s="4"/>
      <c r="B7" s="3"/>
      <c r="C7" s="3"/>
      <c r="D7" s="4"/>
      <c r="E7" s="4"/>
      <c r="F7" s="4"/>
      <c r="G7" s="4"/>
      <c r="H7" s="4"/>
      <c r="I7" s="4"/>
    </row>
    <row r="8" spans="1:23" x14ac:dyDescent="0.25">
      <c r="A8" s="2" t="s">
        <v>20</v>
      </c>
      <c r="B8" s="4" t="s">
        <v>21</v>
      </c>
      <c r="C8" s="3"/>
      <c r="D8" s="4"/>
      <c r="E8" s="4"/>
      <c r="F8" s="4"/>
      <c r="G8" s="4"/>
      <c r="H8" s="4"/>
      <c r="I8" s="4"/>
    </row>
    <row r="9" spans="1:23" x14ac:dyDescent="0.25">
      <c r="B9" s="4"/>
      <c r="C9" s="5"/>
      <c r="D9" s="4"/>
      <c r="E9" s="4"/>
      <c r="F9" s="4"/>
      <c r="G9" s="4"/>
      <c r="H9" s="4"/>
      <c r="I9" s="4"/>
    </row>
    <row r="10" spans="1:23" x14ac:dyDescent="0.25">
      <c r="A10" s="6" t="s">
        <v>23</v>
      </c>
      <c r="B10" s="6"/>
      <c r="C10" s="7"/>
      <c r="D10" s="4"/>
      <c r="E10" s="4"/>
      <c r="F10" s="4"/>
      <c r="G10" s="4"/>
      <c r="H10" s="4"/>
      <c r="I10" s="4"/>
    </row>
    <row r="11" spans="1:23" ht="15" customHeight="1" x14ac:dyDescent="0.25">
      <c r="A11" s="8"/>
      <c r="B11" s="779" t="s">
        <v>24</v>
      </c>
      <c r="C11" s="779"/>
      <c r="D11" s="779"/>
      <c r="E11" s="779"/>
      <c r="F11" s="779"/>
      <c r="G11" s="779"/>
      <c r="H11" s="779"/>
      <c r="I11" s="779"/>
      <c r="J11" s="779"/>
      <c r="K11" s="779"/>
      <c r="L11" s="779"/>
      <c r="M11" s="779"/>
      <c r="N11" s="779"/>
      <c r="O11" s="779"/>
      <c r="P11" s="779"/>
      <c r="Q11" s="779"/>
      <c r="R11" s="779"/>
      <c r="S11" s="779"/>
      <c r="T11" s="779"/>
      <c r="U11" s="779"/>
      <c r="V11" s="779"/>
      <c r="W11" s="779"/>
    </row>
    <row r="12" spans="1:23" ht="15.75" thickBot="1" x14ac:dyDescent="0.3">
      <c r="A12" s="8"/>
      <c r="B12" s="779"/>
      <c r="C12" s="779"/>
      <c r="D12" s="779"/>
      <c r="E12" s="779"/>
      <c r="F12" s="779"/>
      <c r="G12" s="779"/>
      <c r="H12" s="779"/>
      <c r="I12" s="779"/>
      <c r="J12" s="779"/>
      <c r="K12" s="779"/>
      <c r="L12" s="779"/>
      <c r="M12" s="779"/>
      <c r="N12" s="779"/>
      <c r="O12" s="779"/>
      <c r="P12" s="779"/>
      <c r="Q12" s="779"/>
      <c r="R12" s="779"/>
      <c r="S12" s="779"/>
      <c r="T12" s="779"/>
      <c r="U12" s="779"/>
      <c r="V12" s="779"/>
      <c r="W12" s="779"/>
    </row>
    <row r="13" spans="1:23" ht="16.5" thickTop="1" thickBot="1" x14ac:dyDescent="0.3">
      <c r="C13" s="781" t="s">
        <v>164</v>
      </c>
      <c r="D13" s="782"/>
      <c r="E13" s="782"/>
      <c r="F13" s="782"/>
      <c r="G13" s="782"/>
      <c r="H13" s="782"/>
      <c r="I13" s="782"/>
      <c r="J13" s="782"/>
      <c r="K13" s="783"/>
      <c r="L13" s="784" t="s">
        <v>165</v>
      </c>
      <c r="M13" s="785"/>
      <c r="N13" s="785"/>
      <c r="O13" s="785"/>
      <c r="P13" s="785"/>
      <c r="Q13" s="785"/>
      <c r="R13" s="785"/>
      <c r="S13" s="785"/>
      <c r="T13" s="785"/>
      <c r="U13" s="785"/>
      <c r="V13" s="786"/>
    </row>
    <row r="14" spans="1:23" ht="15.75" thickTop="1" x14ac:dyDescent="0.25">
      <c r="B14" s="42" t="s">
        <v>14</v>
      </c>
      <c r="C14" s="601" t="s">
        <v>6</v>
      </c>
      <c r="D14" s="602" t="s">
        <v>8</v>
      </c>
      <c r="E14" s="602" t="s">
        <v>4</v>
      </c>
      <c r="F14" s="602" t="s">
        <v>390</v>
      </c>
      <c r="G14" s="602" t="s">
        <v>415</v>
      </c>
      <c r="H14" s="602" t="s">
        <v>416</v>
      </c>
      <c r="I14" s="602" t="s">
        <v>417</v>
      </c>
      <c r="J14" s="602" t="s">
        <v>2</v>
      </c>
      <c r="K14" s="602" t="s">
        <v>418</v>
      </c>
      <c r="L14" s="621" t="s">
        <v>9</v>
      </c>
      <c r="M14" s="622" t="s">
        <v>8</v>
      </c>
      <c r="N14" s="622" t="s">
        <v>390</v>
      </c>
      <c r="O14" s="622" t="s">
        <v>7</v>
      </c>
      <c r="P14" s="622" t="s">
        <v>6</v>
      </c>
      <c r="Q14" s="622" t="s">
        <v>5</v>
      </c>
      <c r="R14" s="622" t="s">
        <v>4</v>
      </c>
      <c r="S14" s="622" t="s">
        <v>413</v>
      </c>
      <c r="T14" s="622" t="s">
        <v>3</v>
      </c>
      <c r="U14" s="623" t="s">
        <v>2</v>
      </c>
      <c r="V14" s="624" t="s">
        <v>414</v>
      </c>
      <c r="W14" s="60" t="s">
        <v>82</v>
      </c>
    </row>
    <row r="15" spans="1:23" x14ac:dyDescent="0.25">
      <c r="B15" s="51">
        <v>2012</v>
      </c>
      <c r="C15" s="54"/>
      <c r="D15" s="43"/>
      <c r="E15" s="44"/>
      <c r="F15" s="43"/>
      <c r="G15" s="43"/>
      <c r="H15" s="43"/>
      <c r="I15" s="43"/>
      <c r="J15" s="43"/>
      <c r="K15" s="43"/>
      <c r="L15" s="256">
        <v>0</v>
      </c>
      <c r="M15" s="253">
        <v>0</v>
      </c>
      <c r="N15" s="249">
        <v>0</v>
      </c>
      <c r="O15" s="253">
        <v>0</v>
      </c>
      <c r="P15" s="253">
        <v>0</v>
      </c>
      <c r="Q15" s="253">
        <v>0</v>
      </c>
      <c r="R15" s="253">
        <v>1</v>
      </c>
      <c r="S15" s="253">
        <v>0</v>
      </c>
      <c r="T15" s="253">
        <v>0</v>
      </c>
      <c r="U15" s="258">
        <v>0</v>
      </c>
      <c r="V15" s="258"/>
      <c r="W15" s="61">
        <f t="shared" ref="W15:W20" si="0">SUM(C15:U15)</f>
        <v>1</v>
      </c>
    </row>
    <row r="16" spans="1:23" x14ac:dyDescent="0.25">
      <c r="B16" s="52">
        <v>2013</v>
      </c>
      <c r="C16" s="55">
        <v>0</v>
      </c>
      <c r="D16" s="45">
        <v>1</v>
      </c>
      <c r="E16" s="46">
        <v>0</v>
      </c>
      <c r="F16" s="45">
        <v>1</v>
      </c>
      <c r="G16" s="45"/>
      <c r="H16" s="45"/>
      <c r="I16" s="45"/>
      <c r="J16" s="45"/>
      <c r="K16" s="45"/>
      <c r="L16" s="243">
        <v>0</v>
      </c>
      <c r="M16" s="251">
        <v>0</v>
      </c>
      <c r="N16" s="247">
        <v>0</v>
      </c>
      <c r="O16" s="251">
        <v>0</v>
      </c>
      <c r="P16" s="251">
        <v>0</v>
      </c>
      <c r="Q16" s="251">
        <v>0</v>
      </c>
      <c r="R16" s="251">
        <v>0</v>
      </c>
      <c r="S16" s="251">
        <v>0</v>
      </c>
      <c r="T16" s="251">
        <v>1</v>
      </c>
      <c r="U16" s="255"/>
      <c r="V16" s="255"/>
      <c r="W16" s="62">
        <f t="shared" si="0"/>
        <v>3</v>
      </c>
    </row>
    <row r="17" spans="1:27" x14ac:dyDescent="0.25">
      <c r="B17" s="52">
        <v>2014</v>
      </c>
      <c r="C17" s="55">
        <v>0</v>
      </c>
      <c r="D17" s="45">
        <v>1</v>
      </c>
      <c r="E17" s="46">
        <v>0</v>
      </c>
      <c r="F17" s="45">
        <v>5</v>
      </c>
      <c r="G17" s="47">
        <v>0</v>
      </c>
      <c r="H17" s="47">
        <v>0</v>
      </c>
      <c r="I17" s="47">
        <v>0</v>
      </c>
      <c r="J17" s="47">
        <v>1</v>
      </c>
      <c r="K17" s="56">
        <v>0</v>
      </c>
      <c r="L17" s="243">
        <v>0</v>
      </c>
      <c r="M17" s="251">
        <v>0</v>
      </c>
      <c r="N17" s="247">
        <v>0</v>
      </c>
      <c r="O17" s="251">
        <v>3</v>
      </c>
      <c r="P17" s="251">
        <v>0</v>
      </c>
      <c r="Q17" s="251">
        <v>0</v>
      </c>
      <c r="R17" s="251">
        <v>0</v>
      </c>
      <c r="S17" s="251">
        <v>0</v>
      </c>
      <c r="T17" s="251">
        <v>0</v>
      </c>
      <c r="U17" s="255">
        <v>0</v>
      </c>
      <c r="V17" s="255"/>
      <c r="W17" s="62">
        <f t="shared" si="0"/>
        <v>10</v>
      </c>
    </row>
    <row r="18" spans="1:27" x14ac:dyDescent="0.25">
      <c r="B18" s="52">
        <v>2015</v>
      </c>
      <c r="C18" s="55">
        <v>0</v>
      </c>
      <c r="D18" s="45">
        <v>8</v>
      </c>
      <c r="E18" s="46">
        <v>0</v>
      </c>
      <c r="F18" s="45">
        <v>15</v>
      </c>
      <c r="G18" s="47">
        <v>0</v>
      </c>
      <c r="H18" s="47">
        <v>4</v>
      </c>
      <c r="I18" s="47">
        <v>0</v>
      </c>
      <c r="J18" s="47">
        <v>4</v>
      </c>
      <c r="K18" s="56">
        <v>0</v>
      </c>
      <c r="L18" s="243">
        <v>0</v>
      </c>
      <c r="M18" s="251">
        <v>0</v>
      </c>
      <c r="N18" s="247">
        <v>0</v>
      </c>
      <c r="O18" s="251">
        <v>2</v>
      </c>
      <c r="P18" s="251">
        <v>1</v>
      </c>
      <c r="Q18" s="251">
        <v>0</v>
      </c>
      <c r="R18" s="251">
        <v>0</v>
      </c>
      <c r="S18" s="251">
        <v>0</v>
      </c>
      <c r="T18" s="251">
        <v>0</v>
      </c>
      <c r="U18" s="255">
        <v>0</v>
      </c>
      <c r="V18" s="255"/>
      <c r="W18" s="62">
        <f t="shared" si="0"/>
        <v>34</v>
      </c>
    </row>
    <row r="19" spans="1:27" x14ac:dyDescent="0.25">
      <c r="B19" s="52">
        <v>2016</v>
      </c>
      <c r="C19" s="55">
        <v>6850</v>
      </c>
      <c r="D19" s="45">
        <v>3638</v>
      </c>
      <c r="E19" s="46">
        <v>4997</v>
      </c>
      <c r="F19" s="45">
        <v>658</v>
      </c>
      <c r="G19" s="47">
        <v>12</v>
      </c>
      <c r="H19" s="47">
        <v>6</v>
      </c>
      <c r="I19" s="47">
        <v>148</v>
      </c>
      <c r="J19" s="47">
        <v>15</v>
      </c>
      <c r="K19" s="56">
        <v>17</v>
      </c>
      <c r="L19" s="243">
        <v>28</v>
      </c>
      <c r="M19" s="251">
        <v>341</v>
      </c>
      <c r="N19" s="247">
        <v>2</v>
      </c>
      <c r="O19" s="251">
        <v>2</v>
      </c>
      <c r="P19" s="251">
        <v>214</v>
      </c>
      <c r="Q19" s="251">
        <v>17</v>
      </c>
      <c r="R19" s="251">
        <v>60</v>
      </c>
      <c r="S19" s="251">
        <v>6</v>
      </c>
      <c r="T19" s="251">
        <v>7</v>
      </c>
      <c r="U19" s="255">
        <v>4</v>
      </c>
      <c r="V19" s="255"/>
      <c r="W19" s="62">
        <f t="shared" si="0"/>
        <v>17022</v>
      </c>
    </row>
    <row r="20" spans="1:27" x14ac:dyDescent="0.25">
      <c r="B20" s="53">
        <v>2017</v>
      </c>
      <c r="C20" s="57">
        <v>16325</v>
      </c>
      <c r="D20" s="48">
        <v>11844</v>
      </c>
      <c r="E20" s="49">
        <v>9864</v>
      </c>
      <c r="F20" s="48">
        <v>2280</v>
      </c>
      <c r="G20" s="50">
        <v>79</v>
      </c>
      <c r="H20" s="50">
        <v>44</v>
      </c>
      <c r="I20" s="50">
        <v>442</v>
      </c>
      <c r="J20" s="50">
        <v>81</v>
      </c>
      <c r="K20" s="58">
        <v>137</v>
      </c>
      <c r="L20" s="57">
        <v>61</v>
      </c>
      <c r="M20" s="48">
        <v>1116</v>
      </c>
      <c r="N20" s="49"/>
      <c r="O20" s="48">
        <v>30</v>
      </c>
      <c r="P20" s="48">
        <v>2680</v>
      </c>
      <c r="Q20" s="48">
        <v>134</v>
      </c>
      <c r="R20" s="48">
        <v>799</v>
      </c>
      <c r="S20" s="48">
        <v>3</v>
      </c>
      <c r="T20" s="48">
        <v>47</v>
      </c>
      <c r="U20" s="59"/>
      <c r="V20" s="59"/>
      <c r="W20" s="63">
        <f t="shared" si="0"/>
        <v>45966</v>
      </c>
    </row>
    <row r="21" spans="1:27" ht="30" x14ac:dyDescent="0.25">
      <c r="B21" s="603" t="s">
        <v>1</v>
      </c>
      <c r="C21" s="604">
        <v>23175</v>
      </c>
      <c r="D21" s="605">
        <v>15492</v>
      </c>
      <c r="E21" s="605">
        <v>14861</v>
      </c>
      <c r="F21" s="605">
        <v>2959</v>
      </c>
      <c r="G21" s="606">
        <v>91</v>
      </c>
      <c r="H21" s="606">
        <v>54</v>
      </c>
      <c r="I21" s="606">
        <v>590</v>
      </c>
      <c r="J21" s="606">
        <v>101</v>
      </c>
      <c r="K21" s="607">
        <v>154</v>
      </c>
      <c r="L21" s="613">
        <v>89</v>
      </c>
      <c r="M21" s="614">
        <v>1457</v>
      </c>
      <c r="N21" s="614">
        <v>2</v>
      </c>
      <c r="O21" s="614">
        <v>37</v>
      </c>
      <c r="P21" s="614">
        <v>2895</v>
      </c>
      <c r="Q21" s="614">
        <v>151</v>
      </c>
      <c r="R21" s="614">
        <v>860</v>
      </c>
      <c r="S21" s="614">
        <v>9</v>
      </c>
      <c r="T21" s="614">
        <v>55</v>
      </c>
      <c r="U21" s="615">
        <v>4</v>
      </c>
      <c r="V21" s="615">
        <v>0</v>
      </c>
      <c r="W21" s="616">
        <f>SUM(C21:V21)</f>
        <v>63036</v>
      </c>
    </row>
    <row r="22" spans="1:27" ht="15" customHeight="1" thickBot="1" x14ac:dyDescent="0.3">
      <c r="B22" s="608" t="s">
        <v>0</v>
      </c>
      <c r="C22" s="609">
        <v>6850</v>
      </c>
      <c r="D22" s="610">
        <v>3648</v>
      </c>
      <c r="E22" s="610">
        <v>4997</v>
      </c>
      <c r="F22" s="610">
        <v>679</v>
      </c>
      <c r="G22" s="611">
        <v>12</v>
      </c>
      <c r="H22" s="611">
        <v>10</v>
      </c>
      <c r="I22" s="611">
        <v>148</v>
      </c>
      <c r="J22" s="611">
        <v>20</v>
      </c>
      <c r="K22" s="612">
        <v>17</v>
      </c>
      <c r="L22" s="617">
        <v>28</v>
      </c>
      <c r="M22" s="618">
        <v>341</v>
      </c>
      <c r="N22" s="618">
        <v>2</v>
      </c>
      <c r="O22" s="618">
        <v>7</v>
      </c>
      <c r="P22" s="618">
        <v>215</v>
      </c>
      <c r="Q22" s="618">
        <v>17</v>
      </c>
      <c r="R22" s="618">
        <v>61</v>
      </c>
      <c r="S22" s="618">
        <v>6</v>
      </c>
      <c r="T22" s="618">
        <v>8</v>
      </c>
      <c r="U22" s="619">
        <v>4</v>
      </c>
      <c r="V22" s="619">
        <v>0</v>
      </c>
      <c r="W22" s="620">
        <f>SUM(C22:V22)</f>
        <v>17070</v>
      </c>
    </row>
    <row r="23" spans="1:27" ht="15.75" thickTop="1" x14ac:dyDescent="0.25">
      <c r="A23" s="10"/>
      <c r="B23" s="10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Y23" s="787" t="s">
        <v>419</v>
      </c>
      <c r="Z23" s="787" t="s">
        <v>412</v>
      </c>
      <c r="AA23" s="787" t="s">
        <v>411</v>
      </c>
    </row>
    <row r="24" spans="1:27" s="260" customFormat="1" ht="15.75" thickBot="1" x14ac:dyDescent="0.3">
      <c r="A24" s="12" t="s">
        <v>393</v>
      </c>
      <c r="B24" s="791" t="s">
        <v>392</v>
      </c>
      <c r="C24" s="791"/>
      <c r="D24" s="356" t="s">
        <v>363</v>
      </c>
      <c r="E24" s="356" t="s">
        <v>364</v>
      </c>
      <c r="F24" s="356" t="s">
        <v>365</v>
      </c>
      <c r="G24" s="356" t="s">
        <v>366</v>
      </c>
      <c r="H24" s="356" t="s">
        <v>367</v>
      </c>
      <c r="I24" s="356" t="s">
        <v>368</v>
      </c>
      <c r="J24" s="356" t="s">
        <v>369</v>
      </c>
      <c r="K24" s="356" t="s">
        <v>370</v>
      </c>
      <c r="L24" s="356" t="s">
        <v>371</v>
      </c>
      <c r="M24" s="356" t="s">
        <v>372</v>
      </c>
      <c r="N24" s="356" t="s">
        <v>373</v>
      </c>
      <c r="O24" s="356" t="s">
        <v>374</v>
      </c>
      <c r="P24" s="356" t="s">
        <v>375</v>
      </c>
      <c r="Q24" s="356" t="s">
        <v>376</v>
      </c>
      <c r="R24" s="356" t="s">
        <v>377</v>
      </c>
      <c r="S24" s="356" t="s">
        <v>378</v>
      </c>
      <c r="T24" s="356" t="s">
        <v>379</v>
      </c>
      <c r="U24" s="356" t="s">
        <v>380</v>
      </c>
      <c r="V24" s="356" t="s">
        <v>381</v>
      </c>
      <c r="X24" s="9"/>
      <c r="Y24" s="788"/>
      <c r="Z24" s="788"/>
      <c r="AA24" s="788"/>
    </row>
    <row r="25" spans="1:27" ht="16.5" thickTop="1" thickBot="1" x14ac:dyDescent="0.3">
      <c r="A25" s="792">
        <v>43250</v>
      </c>
      <c r="B25" s="252" t="s">
        <v>394</v>
      </c>
      <c r="C25" s="239">
        <v>5578</v>
      </c>
      <c r="D25" s="237">
        <v>2373</v>
      </c>
      <c r="E25" s="237">
        <v>2498</v>
      </c>
      <c r="F25" s="237">
        <v>415</v>
      </c>
      <c r="G25" s="237">
        <v>12</v>
      </c>
      <c r="H25" s="237">
        <v>10</v>
      </c>
      <c r="I25" s="237">
        <v>125</v>
      </c>
      <c r="J25" s="237">
        <v>19</v>
      </c>
      <c r="K25" s="361">
        <v>6</v>
      </c>
      <c r="L25" s="357">
        <v>28</v>
      </c>
      <c r="M25" s="209">
        <v>247</v>
      </c>
      <c r="N25" s="209">
        <v>2</v>
      </c>
      <c r="O25" s="209">
        <v>7</v>
      </c>
      <c r="P25" s="209">
        <v>176</v>
      </c>
      <c r="Q25" s="209">
        <v>17</v>
      </c>
      <c r="R25" s="209">
        <v>51</v>
      </c>
      <c r="S25" s="209">
        <v>6</v>
      </c>
      <c r="T25" s="209">
        <v>8</v>
      </c>
      <c r="U25" s="210">
        <v>5</v>
      </c>
      <c r="V25" s="245">
        <v>4</v>
      </c>
      <c r="W25" s="285">
        <f t="shared" ref="W25:W30" si="1">SUM(C25:V25)</f>
        <v>11587</v>
      </c>
      <c r="Y25" s="577">
        <f>W22-W25</f>
        <v>5483</v>
      </c>
      <c r="Z25" s="600">
        <f>W25/$W$22</f>
        <v>0.67879320445225544</v>
      </c>
      <c r="AA25" s="600">
        <f>1-Z25</f>
        <v>0.32120679554774456</v>
      </c>
    </row>
    <row r="26" spans="1:27" ht="16.5" thickTop="1" thickBot="1" x14ac:dyDescent="0.3">
      <c r="A26" s="793"/>
      <c r="B26" s="282" t="s">
        <v>395</v>
      </c>
      <c r="C26" s="283">
        <v>1358</v>
      </c>
      <c r="D26" s="284">
        <v>1469</v>
      </c>
      <c r="E26" s="284">
        <v>2896</v>
      </c>
      <c r="F26" s="284">
        <v>355</v>
      </c>
      <c r="G26" s="284"/>
      <c r="H26" s="284"/>
      <c r="I26" s="284">
        <v>30</v>
      </c>
      <c r="J26" s="284">
        <v>2</v>
      </c>
      <c r="K26" s="362">
        <v>11</v>
      </c>
      <c r="L26" s="358">
        <v>1</v>
      </c>
      <c r="M26" s="207">
        <v>100</v>
      </c>
      <c r="N26" s="207">
        <v>2</v>
      </c>
      <c r="O26" s="207">
        <v>0</v>
      </c>
      <c r="P26" s="207">
        <v>51</v>
      </c>
      <c r="Q26" s="207">
        <v>3</v>
      </c>
      <c r="R26" s="207">
        <v>22</v>
      </c>
      <c r="S26" s="207">
        <v>2</v>
      </c>
      <c r="T26" s="207">
        <v>1</v>
      </c>
      <c r="U26" s="208"/>
      <c r="V26" s="240">
        <v>34</v>
      </c>
      <c r="W26" s="286">
        <f t="shared" si="1"/>
        <v>6337</v>
      </c>
      <c r="X26" s="260"/>
      <c r="Y26" s="260"/>
      <c r="Z26" s="260"/>
      <c r="AA26" s="260"/>
    </row>
    <row r="27" spans="1:27" ht="16.5" thickTop="1" thickBot="1" x14ac:dyDescent="0.3">
      <c r="A27" s="789">
        <v>43281</v>
      </c>
      <c r="B27" s="250" t="s">
        <v>394</v>
      </c>
      <c r="C27" s="246">
        <v>5102</v>
      </c>
      <c r="D27" s="236">
        <v>950</v>
      </c>
      <c r="E27" s="236">
        <v>2149</v>
      </c>
      <c r="F27" s="236">
        <v>385</v>
      </c>
      <c r="G27" s="236">
        <v>8</v>
      </c>
      <c r="H27" s="236">
        <v>10</v>
      </c>
      <c r="I27" s="236">
        <v>123</v>
      </c>
      <c r="J27" s="236">
        <v>19</v>
      </c>
      <c r="K27" s="244">
        <v>5</v>
      </c>
      <c r="L27" s="359">
        <v>25</v>
      </c>
      <c r="M27" s="236">
        <f>83+68+20+5+3</f>
        <v>179</v>
      </c>
      <c r="N27" s="236">
        <v>2</v>
      </c>
      <c r="O27" s="236">
        <v>5</v>
      </c>
      <c r="P27" s="236">
        <f>107+13+13+12+8+4+1+1</f>
        <v>159</v>
      </c>
      <c r="Q27" s="236">
        <f>7+5+4</f>
        <v>16</v>
      </c>
      <c r="R27" s="236">
        <f>22+10+6+12</f>
        <v>50</v>
      </c>
      <c r="S27" s="236">
        <v>4</v>
      </c>
      <c r="T27" s="236">
        <v>7</v>
      </c>
      <c r="U27" s="241">
        <f>1+1+1+1</f>
        <v>4</v>
      </c>
      <c r="V27" s="244"/>
      <c r="W27" s="287">
        <f t="shared" si="1"/>
        <v>9202</v>
      </c>
      <c r="Y27" s="578">
        <f>W22-W27</f>
        <v>7868</v>
      </c>
      <c r="Z27" s="600">
        <f>W27/$W$22</f>
        <v>0.53907439953134151</v>
      </c>
      <c r="AA27" s="600">
        <f>1-Z27</f>
        <v>0.46092560046865849</v>
      </c>
    </row>
    <row r="28" spans="1:27" ht="16.5" thickTop="1" thickBot="1" x14ac:dyDescent="0.3">
      <c r="A28" s="790"/>
      <c r="B28" s="248" t="s">
        <v>395</v>
      </c>
      <c r="C28" s="257">
        <v>1780</v>
      </c>
      <c r="D28" s="254">
        <v>1897</v>
      </c>
      <c r="E28" s="254">
        <v>3254</v>
      </c>
      <c r="F28" s="254">
        <v>380</v>
      </c>
      <c r="G28" s="254">
        <v>4</v>
      </c>
      <c r="H28" s="254"/>
      <c r="I28" s="254">
        <v>32</v>
      </c>
      <c r="J28" s="254">
        <v>2</v>
      </c>
      <c r="K28" s="242">
        <v>12</v>
      </c>
      <c r="L28" s="360">
        <v>7</v>
      </c>
      <c r="M28" s="254">
        <f>122+35+10+4+2</f>
        <v>173</v>
      </c>
      <c r="N28" s="254">
        <f>1+1</f>
        <v>2</v>
      </c>
      <c r="O28" s="254">
        <v>1</v>
      </c>
      <c r="P28" s="254">
        <f>44+7+6+3+2</f>
        <v>62</v>
      </c>
      <c r="Q28" s="254">
        <f>3+1</f>
        <v>4</v>
      </c>
      <c r="R28" s="254">
        <f>11+10+1+1</f>
        <v>23</v>
      </c>
      <c r="S28" s="254">
        <v>4</v>
      </c>
      <c r="T28" s="254">
        <v>1</v>
      </c>
      <c r="U28" s="238"/>
      <c r="V28" s="242">
        <v>34</v>
      </c>
      <c r="W28" s="288">
        <f t="shared" si="1"/>
        <v>7672</v>
      </c>
      <c r="X28" s="260"/>
      <c r="Y28" s="260"/>
      <c r="Z28" s="260"/>
      <c r="AA28" s="260"/>
    </row>
    <row r="29" spans="1:27" ht="16.5" thickTop="1" thickBot="1" x14ac:dyDescent="0.3">
      <c r="A29" s="792">
        <v>43311</v>
      </c>
      <c r="B29" s="252" t="s">
        <v>394</v>
      </c>
      <c r="C29" s="239">
        <v>4806</v>
      </c>
      <c r="D29" s="237">
        <v>848</v>
      </c>
      <c r="E29" s="237">
        <v>1855</v>
      </c>
      <c r="F29" s="237">
        <v>337</v>
      </c>
      <c r="G29" s="237">
        <v>7</v>
      </c>
      <c r="H29" s="237">
        <v>10</v>
      </c>
      <c r="I29" s="237">
        <v>114</v>
      </c>
      <c r="J29" s="237">
        <v>16</v>
      </c>
      <c r="K29" s="361">
        <v>4</v>
      </c>
      <c r="L29" s="357">
        <v>19</v>
      </c>
      <c r="M29" s="209">
        <v>137</v>
      </c>
      <c r="N29" s="209">
        <v>2</v>
      </c>
      <c r="O29" s="209">
        <v>4</v>
      </c>
      <c r="P29" s="209">
        <v>150</v>
      </c>
      <c r="Q29" s="209">
        <v>16</v>
      </c>
      <c r="R29" s="209">
        <v>48</v>
      </c>
      <c r="S29" s="209">
        <v>4</v>
      </c>
      <c r="T29" s="209">
        <v>7</v>
      </c>
      <c r="U29" s="210">
        <v>4</v>
      </c>
      <c r="V29" s="245"/>
      <c r="W29" s="285">
        <f t="shared" si="1"/>
        <v>8388</v>
      </c>
      <c r="Y29" s="577">
        <f>W22-W29</f>
        <v>8682</v>
      </c>
      <c r="Z29" s="600">
        <f>W29/$W$22</f>
        <v>0.49138840070298767</v>
      </c>
      <c r="AA29" s="600">
        <f>1-Z29</f>
        <v>0.50861159929701238</v>
      </c>
    </row>
    <row r="30" spans="1:27" ht="16.5" thickTop="1" thickBot="1" x14ac:dyDescent="0.3">
      <c r="A30" s="793"/>
      <c r="B30" s="282" t="s">
        <v>395</v>
      </c>
      <c r="C30" s="283">
        <v>2042</v>
      </c>
      <c r="D30" s="284">
        <v>1988</v>
      </c>
      <c r="E30" s="284">
        <v>3541</v>
      </c>
      <c r="F30" s="284">
        <v>420</v>
      </c>
      <c r="G30" s="284">
        <v>5</v>
      </c>
      <c r="H30" s="284"/>
      <c r="I30" s="284">
        <v>41</v>
      </c>
      <c r="J30" s="284">
        <v>5</v>
      </c>
      <c r="K30" s="362">
        <v>13</v>
      </c>
      <c r="L30" s="358">
        <v>13</v>
      </c>
      <c r="M30" s="207">
        <v>216</v>
      </c>
      <c r="N30" s="207">
        <v>1</v>
      </c>
      <c r="O30" s="207">
        <v>2</v>
      </c>
      <c r="P30" s="207">
        <v>71</v>
      </c>
      <c r="Q30" s="207">
        <v>4</v>
      </c>
      <c r="R30" s="207">
        <v>26</v>
      </c>
      <c r="S30" s="207">
        <v>4</v>
      </c>
      <c r="T30" s="207">
        <v>1</v>
      </c>
      <c r="U30" s="208">
        <v>1</v>
      </c>
      <c r="V30" s="240">
        <v>34</v>
      </c>
      <c r="W30" s="286">
        <f t="shared" si="1"/>
        <v>8428</v>
      </c>
      <c r="X30" s="260"/>
      <c r="Y30" s="260"/>
      <c r="Z30" s="260"/>
      <c r="AA30" s="260"/>
    </row>
    <row r="31" spans="1:27" ht="16.5" thickTop="1" thickBot="1" x14ac:dyDescent="0.3">
      <c r="A31" s="789">
        <v>43342</v>
      </c>
      <c r="B31" s="250" t="s">
        <v>394</v>
      </c>
      <c r="C31" s="246">
        <v>3573</v>
      </c>
      <c r="D31" s="236">
        <v>637</v>
      </c>
      <c r="E31" s="236">
        <v>1338</v>
      </c>
      <c r="F31" s="236">
        <v>321</v>
      </c>
      <c r="G31" s="236">
        <v>7</v>
      </c>
      <c r="H31" s="236">
        <v>6</v>
      </c>
      <c r="I31" s="236">
        <v>108</v>
      </c>
      <c r="J31" s="236">
        <v>15</v>
      </c>
      <c r="K31" s="244">
        <v>4</v>
      </c>
      <c r="L31" s="359">
        <v>19</v>
      </c>
      <c r="M31" s="236">
        <v>134</v>
      </c>
      <c r="N31" s="236">
        <v>3</v>
      </c>
      <c r="O31" s="236">
        <v>4</v>
      </c>
      <c r="P31" s="236">
        <v>142</v>
      </c>
      <c r="Q31" s="236">
        <v>14</v>
      </c>
      <c r="R31" s="236">
        <v>48</v>
      </c>
      <c r="S31" s="236">
        <v>4</v>
      </c>
      <c r="T31" s="236">
        <v>5</v>
      </c>
      <c r="U31" s="241">
        <v>3</v>
      </c>
      <c r="V31" s="244"/>
      <c r="W31" s="287">
        <f t="shared" ref="W31:W36" si="2">SUM(C31:V31)</f>
        <v>6385</v>
      </c>
      <c r="Y31" s="578">
        <f>W22-W31</f>
        <v>10685</v>
      </c>
      <c r="Z31" s="600">
        <f>W31/$W$22</f>
        <v>0.37404803749267723</v>
      </c>
      <c r="AA31" s="600">
        <f>1-Z31</f>
        <v>0.62595196250732277</v>
      </c>
    </row>
    <row r="32" spans="1:27" ht="16.5" thickTop="1" thickBot="1" x14ac:dyDescent="0.3">
      <c r="A32" s="790"/>
      <c r="B32" s="248" t="s">
        <v>395</v>
      </c>
      <c r="C32" s="257">
        <v>2863</v>
      </c>
      <c r="D32" s="254">
        <v>2172</v>
      </c>
      <c r="E32" s="254">
        <v>3992</v>
      </c>
      <c r="F32" s="254">
        <v>437</v>
      </c>
      <c r="G32" s="254">
        <v>5</v>
      </c>
      <c r="H32" s="254">
        <v>5</v>
      </c>
      <c r="I32" s="254">
        <v>50</v>
      </c>
      <c r="J32" s="254">
        <v>5</v>
      </c>
      <c r="K32" s="242">
        <v>13</v>
      </c>
      <c r="L32" s="360">
        <v>13</v>
      </c>
      <c r="M32" s="254">
        <v>218</v>
      </c>
      <c r="N32" s="254">
        <v>2</v>
      </c>
      <c r="O32" s="254">
        <v>2</v>
      </c>
      <c r="P32" s="254">
        <v>80</v>
      </c>
      <c r="Q32" s="254">
        <v>6</v>
      </c>
      <c r="R32" s="254">
        <v>27</v>
      </c>
      <c r="S32" s="254">
        <v>4</v>
      </c>
      <c r="T32" s="254">
        <v>5</v>
      </c>
      <c r="U32" s="238"/>
      <c r="V32" s="242">
        <v>34</v>
      </c>
      <c r="W32" s="288">
        <f t="shared" si="2"/>
        <v>9933</v>
      </c>
      <c r="Y32" s="260"/>
      <c r="Z32" s="260"/>
      <c r="AA32" s="260"/>
    </row>
    <row r="33" spans="1:27" ht="16.5" thickTop="1" thickBot="1" x14ac:dyDescent="0.3">
      <c r="A33" s="792">
        <v>43373</v>
      </c>
      <c r="B33" s="252" t="s">
        <v>394</v>
      </c>
      <c r="C33" s="239">
        <v>3036</v>
      </c>
      <c r="D33" s="237">
        <v>533</v>
      </c>
      <c r="E33" s="237">
        <v>1233</v>
      </c>
      <c r="F33" s="237">
        <v>287</v>
      </c>
      <c r="G33" s="237">
        <v>6</v>
      </c>
      <c r="H33" s="237">
        <v>2</v>
      </c>
      <c r="I33" s="237">
        <v>108</v>
      </c>
      <c r="J33" s="237">
        <v>13</v>
      </c>
      <c r="K33" s="361">
        <v>3</v>
      </c>
      <c r="L33" s="357">
        <v>19</v>
      </c>
      <c r="M33" s="209">
        <v>132</v>
      </c>
      <c r="N33" s="209">
        <v>2</v>
      </c>
      <c r="O33" s="209">
        <v>1</v>
      </c>
      <c r="P33" s="209">
        <v>142</v>
      </c>
      <c r="Q33" s="209">
        <v>14</v>
      </c>
      <c r="R33" s="209">
        <v>48</v>
      </c>
      <c r="S33" s="209">
        <v>4</v>
      </c>
      <c r="T33" s="209">
        <v>5</v>
      </c>
      <c r="U33" s="210">
        <v>4</v>
      </c>
      <c r="V33" s="245"/>
      <c r="W33" s="285">
        <f t="shared" si="2"/>
        <v>5592</v>
      </c>
      <c r="Y33" s="577">
        <f>W22-W33</f>
        <v>11478</v>
      </c>
      <c r="Z33" s="600">
        <f>W33/$W$22</f>
        <v>0.32759226713532513</v>
      </c>
      <c r="AA33" s="600">
        <f>1-Z33</f>
        <v>0.67240773286467492</v>
      </c>
    </row>
    <row r="34" spans="1:27" s="260" customFormat="1" ht="16.5" thickTop="1" thickBot="1" x14ac:dyDescent="0.3">
      <c r="A34" s="793"/>
      <c r="B34" s="282" t="s">
        <v>395</v>
      </c>
      <c r="C34" s="283">
        <v>3539</v>
      </c>
      <c r="D34" s="284">
        <v>2976</v>
      </c>
      <c r="E34" s="284">
        <v>1856</v>
      </c>
      <c r="F34" s="284">
        <v>535</v>
      </c>
      <c r="G34" s="284">
        <v>10</v>
      </c>
      <c r="H34" s="284">
        <v>22</v>
      </c>
      <c r="I34" s="284">
        <v>94</v>
      </c>
      <c r="J34" s="284">
        <v>69</v>
      </c>
      <c r="K34" s="362">
        <v>42</v>
      </c>
      <c r="L34" s="358">
        <v>11</v>
      </c>
      <c r="M34" s="207">
        <v>431</v>
      </c>
      <c r="N34" s="207">
        <v>1</v>
      </c>
      <c r="O34" s="207">
        <v>8</v>
      </c>
      <c r="P34" s="207">
        <v>553</v>
      </c>
      <c r="Q34" s="207">
        <v>12</v>
      </c>
      <c r="R34" s="207">
        <v>249</v>
      </c>
      <c r="S34" s="207">
        <v>3</v>
      </c>
      <c r="T34" s="207">
        <v>35</v>
      </c>
      <c r="U34" s="208"/>
      <c r="V34" s="240">
        <v>8</v>
      </c>
      <c r="W34" s="286">
        <f t="shared" si="2"/>
        <v>10454</v>
      </c>
    </row>
    <row r="35" spans="1:27" s="260" customFormat="1" ht="16.5" thickTop="1" thickBot="1" x14ac:dyDescent="0.3">
      <c r="A35" s="789">
        <v>43403</v>
      </c>
      <c r="B35" s="250" t="s">
        <v>394</v>
      </c>
      <c r="C35" s="246">
        <v>2114</v>
      </c>
      <c r="D35" s="236">
        <v>282</v>
      </c>
      <c r="E35" s="236">
        <v>714</v>
      </c>
      <c r="F35" s="236">
        <v>237</v>
      </c>
      <c r="G35" s="236">
        <v>3</v>
      </c>
      <c r="H35" s="236">
        <v>1</v>
      </c>
      <c r="I35" s="236">
        <v>68</v>
      </c>
      <c r="J35" s="236">
        <v>12</v>
      </c>
      <c r="K35" s="244">
        <v>3</v>
      </c>
      <c r="L35" s="359">
        <v>13</v>
      </c>
      <c r="M35" s="236">
        <v>96</v>
      </c>
      <c r="N35" s="236">
        <v>2</v>
      </c>
      <c r="O35" s="236">
        <v>1</v>
      </c>
      <c r="P35" s="236">
        <v>109</v>
      </c>
      <c r="Q35" s="236">
        <v>9</v>
      </c>
      <c r="R35" s="236">
        <v>48</v>
      </c>
      <c r="S35" s="236">
        <v>1</v>
      </c>
      <c r="T35" s="236">
        <v>4</v>
      </c>
      <c r="U35" s="241">
        <v>4</v>
      </c>
      <c r="V35" s="244">
        <v>0</v>
      </c>
      <c r="W35" s="287">
        <f t="shared" si="2"/>
        <v>3721</v>
      </c>
      <c r="X35" s="9"/>
      <c r="Y35" s="578">
        <f>W22-W35</f>
        <v>13349</v>
      </c>
      <c r="Z35" s="600">
        <f>W35/$W$22</f>
        <v>0.21798476859988283</v>
      </c>
      <c r="AA35" s="600">
        <f>1-Z35</f>
        <v>0.78201523140011719</v>
      </c>
    </row>
    <row r="36" spans="1:27" ht="16.5" thickTop="1" thickBot="1" x14ac:dyDescent="0.3">
      <c r="A36" s="790"/>
      <c r="B36" s="248" t="s">
        <v>395</v>
      </c>
      <c r="C36" s="257">
        <v>3988</v>
      </c>
      <c r="D36" s="254">
        <v>2417</v>
      </c>
      <c r="E36" s="254">
        <v>4530</v>
      </c>
      <c r="F36" s="254">
        <v>505</v>
      </c>
      <c r="G36" s="254">
        <v>9</v>
      </c>
      <c r="H36" s="254">
        <v>10</v>
      </c>
      <c r="I36" s="254">
        <v>60</v>
      </c>
      <c r="J36" s="254">
        <v>8</v>
      </c>
      <c r="K36" s="242">
        <v>15</v>
      </c>
      <c r="L36" s="360">
        <v>19</v>
      </c>
      <c r="M36" s="254">
        <v>256</v>
      </c>
      <c r="N36" s="254">
        <v>2</v>
      </c>
      <c r="O36" s="254">
        <v>5</v>
      </c>
      <c r="P36" s="254">
        <v>112</v>
      </c>
      <c r="Q36" s="254">
        <v>11</v>
      </c>
      <c r="R36" s="254">
        <v>27</v>
      </c>
      <c r="S36" s="254">
        <v>7</v>
      </c>
      <c r="T36" s="254">
        <v>6</v>
      </c>
      <c r="U36" s="238">
        <v>0</v>
      </c>
      <c r="V36" s="242">
        <v>34</v>
      </c>
      <c r="W36" s="288">
        <f t="shared" si="2"/>
        <v>12021</v>
      </c>
      <c r="Y36" s="260"/>
    </row>
    <row r="37" spans="1:27" ht="15.75" thickTop="1" x14ac:dyDescent="0.25">
      <c r="M37" s="9"/>
    </row>
    <row r="38" spans="1:27" x14ac:dyDescent="0.25">
      <c r="Q38" s="9"/>
      <c r="X38" s="40"/>
    </row>
    <row r="39" spans="1:27" x14ac:dyDescent="0.25">
      <c r="Q39" s="9"/>
      <c r="X39" s="40"/>
    </row>
    <row r="40" spans="1:27" x14ac:dyDescent="0.25">
      <c r="Q40" s="9"/>
      <c r="X40" s="40"/>
      <c r="Y40" s="1"/>
    </row>
    <row r="41" spans="1:27" x14ac:dyDescent="0.25">
      <c r="Q41" s="9"/>
      <c r="X41" s="40"/>
    </row>
    <row r="42" spans="1:27" x14ac:dyDescent="0.25">
      <c r="Q42" s="9"/>
      <c r="X42" s="40"/>
    </row>
    <row r="43" spans="1:27" x14ac:dyDescent="0.25">
      <c r="Q43" s="9"/>
      <c r="X43" s="40"/>
    </row>
    <row r="44" spans="1:27" x14ac:dyDescent="0.25">
      <c r="Q44" s="9"/>
      <c r="X44" s="40"/>
    </row>
    <row r="45" spans="1:27" x14ac:dyDescent="0.25">
      <c r="Q45" s="9"/>
      <c r="X45" s="40"/>
    </row>
    <row r="46" spans="1:27" x14ac:dyDescent="0.25">
      <c r="Q46" s="9"/>
      <c r="X46" s="40"/>
    </row>
    <row r="47" spans="1:27" x14ac:dyDescent="0.25">
      <c r="Q47" s="9"/>
      <c r="X47" s="40"/>
    </row>
    <row r="48" spans="1:27" x14ac:dyDescent="0.25">
      <c r="Q48" s="9"/>
      <c r="X48" s="40"/>
    </row>
    <row r="49" spans="17:24" x14ac:dyDescent="0.25">
      <c r="Q49" s="9"/>
      <c r="X49" s="40"/>
    </row>
    <row r="50" spans="17:24" x14ac:dyDescent="0.25">
      <c r="Q50" s="9"/>
      <c r="X50" s="40"/>
    </row>
    <row r="51" spans="17:24" x14ac:dyDescent="0.25">
      <c r="Q51" s="9"/>
      <c r="X51" s="40"/>
    </row>
    <row r="52" spans="17:24" x14ac:dyDescent="0.25">
      <c r="Q52" s="9"/>
      <c r="X52" s="40"/>
    </row>
    <row r="53" spans="17:24" x14ac:dyDescent="0.25">
      <c r="Q53" s="9"/>
      <c r="X53" s="40"/>
    </row>
    <row r="54" spans="17:24" x14ac:dyDescent="0.25">
      <c r="Q54" s="9"/>
      <c r="X54" s="40"/>
    </row>
  </sheetData>
  <mergeCells count="14">
    <mergeCell ref="A35:A36"/>
    <mergeCell ref="AA23:AA24"/>
    <mergeCell ref="Z23:Z24"/>
    <mergeCell ref="B24:C24"/>
    <mergeCell ref="A25:A26"/>
    <mergeCell ref="A27:A28"/>
    <mergeCell ref="A29:A30"/>
    <mergeCell ref="A31:A32"/>
    <mergeCell ref="A33:A34"/>
    <mergeCell ref="B11:W12"/>
    <mergeCell ref="A6:V6"/>
    <mergeCell ref="C13:K13"/>
    <mergeCell ref="L13:V13"/>
    <mergeCell ref="Y23:Y24"/>
  </mergeCells>
  <pageMargins left="0.7" right="0.7" top="0.75" bottom="0.75" header="0.3" footer="0.3"/>
  <pageSetup orientation="portrait" verticalDpi="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99"/>
  </sheetPr>
  <dimension ref="A1:BH143"/>
  <sheetViews>
    <sheetView zoomScale="50" zoomScaleNormal="50" workbookViewId="0">
      <selection activeCell="A16" sqref="A16"/>
    </sheetView>
  </sheetViews>
  <sheetFormatPr baseColWidth="10" defaultRowHeight="18.75" x14ac:dyDescent="0.3"/>
  <cols>
    <col min="1" max="1" width="39.5703125" style="260" customWidth="1"/>
    <col min="2" max="2" width="7.85546875" style="260" bestFit="1" customWidth="1"/>
    <col min="3" max="3" width="7.7109375" style="260" bestFit="1" customWidth="1"/>
    <col min="4" max="4" width="12.7109375" style="260" bestFit="1" customWidth="1"/>
    <col min="5" max="5" width="13.85546875" style="260" bestFit="1" customWidth="1"/>
    <col min="6" max="7" width="8.28515625" style="260" bestFit="1" customWidth="1"/>
    <col min="8" max="8" width="11" style="260" bestFit="1" customWidth="1"/>
    <col min="9" max="9" width="12.7109375" style="260" bestFit="1" customWidth="1"/>
    <col min="10" max="10" width="12.42578125" style="260" bestFit="1" customWidth="1"/>
    <col min="11" max="11" width="12.140625" style="260" bestFit="1" customWidth="1"/>
    <col min="12" max="12" width="9.85546875" style="260" bestFit="1" customWidth="1"/>
    <col min="13" max="13" width="12.140625" style="127" bestFit="1" customWidth="1"/>
    <col min="14" max="14" width="11.42578125" style="260"/>
    <col min="15" max="15" width="56.7109375" style="260" customWidth="1"/>
    <col min="16" max="16" width="8.28515625" style="260" bestFit="1" customWidth="1"/>
    <col min="17" max="17" width="8.42578125" style="260" bestFit="1" customWidth="1"/>
    <col min="18" max="18" width="9.7109375" style="260" bestFit="1" customWidth="1"/>
    <col min="19" max="19" width="10.5703125" style="260" bestFit="1" customWidth="1"/>
    <col min="20" max="20" width="10.7109375" style="260" bestFit="1" customWidth="1"/>
    <col min="21" max="21" width="11.7109375" style="260" bestFit="1" customWidth="1"/>
    <col min="22" max="22" width="11.85546875" style="260" bestFit="1" customWidth="1"/>
    <col min="23" max="23" width="12.42578125" style="260" bestFit="1" customWidth="1"/>
    <col min="24" max="24" width="11.42578125" style="260"/>
    <col min="25" max="25" width="44.5703125" style="260" customWidth="1"/>
    <col min="26" max="26" width="8.28515625" style="260" customWidth="1"/>
    <col min="27" max="27" width="8" style="260" customWidth="1"/>
    <col min="28" max="28" width="8.28515625" style="260" customWidth="1"/>
    <col min="29" max="32" width="8.28515625" style="260" bestFit="1" customWidth="1"/>
    <col min="33" max="34" width="9.5703125" style="260" bestFit="1" customWidth="1"/>
    <col min="35" max="35" width="11.5703125" style="260" bestFit="1" customWidth="1"/>
    <col min="36" max="36" width="12.140625" style="260" customWidth="1"/>
    <col min="37" max="37" width="11.42578125" style="260"/>
    <col min="38" max="38" width="59.28515625" style="260" customWidth="1"/>
    <col min="39" max="43" width="8.140625" style="260" customWidth="1"/>
    <col min="44" max="44" width="11.5703125" style="260" customWidth="1"/>
    <col min="45" max="47" width="11.42578125" style="260"/>
    <col min="48" max="48" width="12.42578125" style="260" bestFit="1" customWidth="1"/>
    <col min="49" max="49" width="8.140625" style="260" customWidth="1"/>
    <col min="50" max="50" width="69.5703125" style="260" customWidth="1"/>
    <col min="51" max="54" width="8.140625" style="260" customWidth="1"/>
    <col min="55" max="55" width="11.28515625" style="260" customWidth="1"/>
    <col min="56" max="58" width="11.42578125" style="260"/>
    <col min="59" max="59" width="12.42578125" style="260" bestFit="1" customWidth="1"/>
    <col min="60" max="16384" width="11.42578125" style="260"/>
  </cols>
  <sheetData>
    <row r="1" spans="1:60" x14ac:dyDescent="0.3">
      <c r="A1" s="2" t="s">
        <v>15</v>
      </c>
      <c r="B1" s="7"/>
      <c r="C1" s="7"/>
    </row>
    <row r="2" spans="1:60" x14ac:dyDescent="0.3">
      <c r="A2" s="2" t="s">
        <v>16</v>
      </c>
      <c r="B2" s="7"/>
      <c r="C2" s="7"/>
      <c r="L2" s="260" t="s">
        <v>423</v>
      </c>
      <c r="M2" s="631">
        <f>+V15/K15</f>
        <v>0.84652688037572776</v>
      </c>
      <c r="BG2" s="632"/>
    </row>
    <row r="3" spans="1:60" x14ac:dyDescent="0.3">
      <c r="A3" s="2" t="s">
        <v>17</v>
      </c>
      <c r="B3" s="7"/>
      <c r="C3" s="7"/>
      <c r="L3" s="260" t="s">
        <v>424</v>
      </c>
      <c r="M3" s="631">
        <f>AI15/K15</f>
        <v>5.4816791029221726E-2</v>
      </c>
      <c r="N3" s="599"/>
    </row>
    <row r="4" spans="1:60" x14ac:dyDescent="0.3">
      <c r="A4" s="2" t="s">
        <v>18</v>
      </c>
      <c r="B4" s="7"/>
      <c r="C4" s="7"/>
      <c r="G4" s="128"/>
      <c r="L4" s="260" t="s">
        <v>425</v>
      </c>
      <c r="M4" s="631">
        <f>AU15/K15</f>
        <v>1.9800742006753094E-2</v>
      </c>
      <c r="AO4" s="260" t="s">
        <v>247</v>
      </c>
    </row>
    <row r="5" spans="1:60" ht="19.5" thickBot="1" x14ac:dyDescent="0.35">
      <c r="A5" s="7"/>
      <c r="B5" s="7"/>
      <c r="C5" s="7"/>
      <c r="L5" s="260" t="s">
        <v>66</v>
      </c>
      <c r="M5" s="631">
        <f>BF15/K15</f>
        <v>7.8855586588297416E-2</v>
      </c>
    </row>
    <row r="6" spans="1:60" ht="22.5" thickTop="1" thickBot="1" x14ac:dyDescent="0.4">
      <c r="A6" s="794" t="s">
        <v>237</v>
      </c>
      <c r="B6" s="795"/>
      <c r="C6" s="795"/>
      <c r="D6" s="795"/>
      <c r="E6" s="795"/>
      <c r="F6" s="795"/>
      <c r="G6" s="795"/>
      <c r="H6" s="795"/>
      <c r="I6" s="795"/>
      <c r="J6" s="795"/>
      <c r="K6" s="796"/>
      <c r="O6" s="797" t="s">
        <v>188</v>
      </c>
      <c r="P6" s="798"/>
      <c r="Q6" s="798"/>
      <c r="R6" s="798"/>
      <c r="S6" s="798"/>
      <c r="T6" s="798"/>
      <c r="U6" s="798"/>
      <c r="V6" s="799"/>
      <c r="Y6" s="797" t="s">
        <v>189</v>
      </c>
      <c r="Z6" s="798"/>
      <c r="AA6" s="798"/>
      <c r="AB6" s="798"/>
      <c r="AC6" s="798"/>
      <c r="AD6" s="798"/>
      <c r="AE6" s="798"/>
      <c r="AF6" s="798"/>
      <c r="AG6" s="798"/>
      <c r="AH6" s="798"/>
      <c r="AI6" s="799"/>
      <c r="AL6" s="797" t="s">
        <v>246</v>
      </c>
      <c r="AM6" s="798"/>
      <c r="AN6" s="798"/>
      <c r="AO6" s="798"/>
      <c r="AP6" s="798"/>
      <c r="AQ6" s="798"/>
      <c r="AR6" s="798"/>
      <c r="AS6" s="798"/>
      <c r="AT6" s="798"/>
      <c r="AU6" s="799"/>
      <c r="AX6" s="797" t="s">
        <v>190</v>
      </c>
      <c r="AY6" s="798"/>
      <c r="AZ6" s="798"/>
      <c r="BA6" s="798"/>
      <c r="BB6" s="798"/>
      <c r="BC6" s="798"/>
      <c r="BD6" s="798"/>
      <c r="BE6" s="798"/>
      <c r="BF6" s="799"/>
    </row>
    <row r="7" spans="1:60" ht="20.25" thickTop="1" thickBot="1" x14ac:dyDescent="0.35"/>
    <row r="8" spans="1:60" ht="20.25" thickTop="1" thickBot="1" x14ac:dyDescent="0.35">
      <c r="A8" s="166" t="s">
        <v>235</v>
      </c>
      <c r="B8" s="306">
        <v>2010</v>
      </c>
      <c r="C8" s="307">
        <v>2011</v>
      </c>
      <c r="D8" s="306">
        <v>2012</v>
      </c>
      <c r="E8" s="307">
        <v>2013</v>
      </c>
      <c r="F8" s="307">
        <v>2014</v>
      </c>
      <c r="G8" s="307">
        <v>2015</v>
      </c>
      <c r="H8" s="307">
        <v>2016</v>
      </c>
      <c r="I8" s="307">
        <v>2017</v>
      </c>
      <c r="J8" s="308">
        <v>2018</v>
      </c>
      <c r="K8" s="309" t="s">
        <v>82</v>
      </c>
      <c r="O8" s="166" t="s">
        <v>244</v>
      </c>
      <c r="P8" s="349">
        <v>2013</v>
      </c>
      <c r="Q8" s="350">
        <v>2014</v>
      </c>
      <c r="R8" s="350">
        <v>2015</v>
      </c>
      <c r="S8" s="350">
        <v>2016</v>
      </c>
      <c r="T8" s="350">
        <v>2017</v>
      </c>
      <c r="U8" s="351">
        <v>2018</v>
      </c>
      <c r="V8" s="352" t="s">
        <v>82</v>
      </c>
      <c r="Y8" s="166" t="s">
        <v>245</v>
      </c>
      <c r="Z8" s="349">
        <v>2010</v>
      </c>
      <c r="AA8" s="350">
        <v>2011</v>
      </c>
      <c r="AB8" s="350">
        <v>2012</v>
      </c>
      <c r="AC8" s="349">
        <v>2013</v>
      </c>
      <c r="AD8" s="350">
        <v>2014</v>
      </c>
      <c r="AE8" s="350">
        <v>2015</v>
      </c>
      <c r="AF8" s="350">
        <v>2016</v>
      </c>
      <c r="AG8" s="350">
        <v>2017</v>
      </c>
      <c r="AH8" s="351">
        <v>2018</v>
      </c>
      <c r="AI8" s="352" t="s">
        <v>82</v>
      </c>
      <c r="AL8" s="166" t="s">
        <v>248</v>
      </c>
      <c r="AM8" s="486">
        <v>2011</v>
      </c>
      <c r="AN8" s="486">
        <v>2012</v>
      </c>
      <c r="AO8" s="486">
        <v>2013</v>
      </c>
      <c r="AP8" s="486">
        <v>2014</v>
      </c>
      <c r="AQ8" s="486">
        <v>2015</v>
      </c>
      <c r="AR8" s="486">
        <v>2016</v>
      </c>
      <c r="AS8" s="486">
        <v>2017</v>
      </c>
      <c r="AT8" s="487">
        <v>2018</v>
      </c>
      <c r="AU8" s="488" t="s">
        <v>82</v>
      </c>
      <c r="AX8" s="166" t="s">
        <v>249</v>
      </c>
      <c r="AY8" s="349">
        <v>2012</v>
      </c>
      <c r="AZ8" s="350">
        <v>2013</v>
      </c>
      <c r="BA8" s="350">
        <v>2014</v>
      </c>
      <c r="BB8" s="350">
        <v>2015</v>
      </c>
      <c r="BC8" s="350">
        <v>2016</v>
      </c>
      <c r="BD8" s="350">
        <v>2017</v>
      </c>
      <c r="BE8" s="351">
        <v>2018</v>
      </c>
      <c r="BF8" s="352" t="s">
        <v>82</v>
      </c>
    </row>
    <row r="9" spans="1:60" ht="19.5" thickTop="1" x14ac:dyDescent="0.3">
      <c r="A9" s="310" t="s">
        <v>236</v>
      </c>
      <c r="B9" s="459"/>
      <c r="C9" s="459"/>
      <c r="D9" s="459">
        <v>1</v>
      </c>
      <c r="E9" s="459">
        <v>3</v>
      </c>
      <c r="F9" s="459">
        <v>10</v>
      </c>
      <c r="G9" s="459">
        <v>34</v>
      </c>
      <c r="H9" s="459">
        <v>17022</v>
      </c>
      <c r="I9" s="459">
        <v>45966</v>
      </c>
      <c r="J9" s="630">
        <v>0</v>
      </c>
      <c r="K9" s="460">
        <f>SUM(D9:J9)</f>
        <v>63036</v>
      </c>
      <c r="L9" s="634">
        <f>SUM(B9:H9)</f>
        <v>17070</v>
      </c>
      <c r="M9" s="128"/>
      <c r="N9" s="10"/>
      <c r="O9" s="353" t="s">
        <v>236</v>
      </c>
      <c r="P9" s="447">
        <v>1</v>
      </c>
      <c r="Q9" s="448">
        <v>1</v>
      </c>
      <c r="R9" s="448">
        <v>8</v>
      </c>
      <c r="S9" s="448">
        <v>15485</v>
      </c>
      <c r="T9" s="448">
        <v>38033</v>
      </c>
      <c r="U9" s="630">
        <v>0</v>
      </c>
      <c r="V9" s="450">
        <f t="shared" ref="V9:V14" si="0">SUM(Q9:U9)</f>
        <v>53527</v>
      </c>
      <c r="W9" s="634">
        <f>SUM(P9:S9)</f>
        <v>15495</v>
      </c>
      <c r="Y9" s="353" t="s">
        <v>236</v>
      </c>
      <c r="Z9" s="529"/>
      <c r="AA9" s="530"/>
      <c r="AB9" s="530"/>
      <c r="AC9" s="524">
        <v>1</v>
      </c>
      <c r="AD9" s="524">
        <v>5</v>
      </c>
      <c r="AE9" s="524">
        <v>15</v>
      </c>
      <c r="AF9" s="524">
        <v>658</v>
      </c>
      <c r="AG9" s="524">
        <v>2280</v>
      </c>
      <c r="AH9" s="629"/>
      <c r="AI9" s="450">
        <v>2959</v>
      </c>
      <c r="AJ9" s="634">
        <f>SUM(AC9:AF9)</f>
        <v>679</v>
      </c>
      <c r="AL9" s="353" t="s">
        <v>236</v>
      </c>
      <c r="AM9" s="523"/>
      <c r="AN9" s="523"/>
      <c r="AO9" s="523"/>
      <c r="AP9" s="524">
        <v>1</v>
      </c>
      <c r="AQ9" s="524">
        <v>8</v>
      </c>
      <c r="AR9" s="524">
        <v>198</v>
      </c>
      <c r="AS9" s="524">
        <v>783</v>
      </c>
      <c r="AT9" s="629"/>
      <c r="AU9" s="525">
        <f>SUM(AP9:AT9)</f>
        <v>990</v>
      </c>
      <c r="AV9" s="634">
        <f>SUM(AP9:AR9)</f>
        <v>207</v>
      </c>
      <c r="AX9" s="353" t="s">
        <v>236</v>
      </c>
      <c r="AY9" s="447">
        <v>1</v>
      </c>
      <c r="AZ9" s="448">
        <v>1</v>
      </c>
      <c r="BA9" s="448">
        <v>3</v>
      </c>
      <c r="BB9" s="448">
        <v>3</v>
      </c>
      <c r="BC9" s="448">
        <v>681</v>
      </c>
      <c r="BD9" s="448">
        <v>4870</v>
      </c>
      <c r="BE9" s="629"/>
      <c r="BF9" s="450">
        <f>SUM(AY9:BE9)</f>
        <v>5559</v>
      </c>
      <c r="BG9" s="634">
        <f>SUM(AY9:BC9)</f>
        <v>689</v>
      </c>
    </row>
    <row r="10" spans="1:60" x14ac:dyDescent="0.3">
      <c r="A10" s="311" t="s">
        <v>211</v>
      </c>
      <c r="B10" s="459"/>
      <c r="C10" s="459"/>
      <c r="D10" s="459">
        <v>1</v>
      </c>
      <c r="E10" s="459">
        <v>2</v>
      </c>
      <c r="F10" s="459">
        <v>13</v>
      </c>
      <c r="G10" s="459">
        <v>27</v>
      </c>
      <c r="H10" s="459">
        <v>11539</v>
      </c>
      <c r="I10" s="459">
        <v>35904</v>
      </c>
      <c r="J10" s="461">
        <v>25019</v>
      </c>
      <c r="K10" s="462">
        <f t="shared" ref="K10:K17" si="1">SUM(D10:J10)</f>
        <v>72505</v>
      </c>
      <c r="L10" s="634">
        <f t="shared" ref="L10:L15" si="2">SUM(B10:H10)</f>
        <v>11582</v>
      </c>
      <c r="M10" s="128"/>
      <c r="N10" s="10"/>
      <c r="O10" s="354" t="s">
        <v>211</v>
      </c>
      <c r="P10" s="447">
        <v>0</v>
      </c>
      <c r="Q10" s="448">
        <v>2</v>
      </c>
      <c r="R10" s="448">
        <v>4</v>
      </c>
      <c r="S10" s="448">
        <v>11606</v>
      </c>
      <c r="T10" s="448">
        <v>31982</v>
      </c>
      <c r="U10" s="449">
        <v>16463</v>
      </c>
      <c r="V10" s="450">
        <f t="shared" si="0"/>
        <v>60057</v>
      </c>
      <c r="W10" s="634">
        <f>SUM(P10:S10)</f>
        <v>11612</v>
      </c>
      <c r="Y10" s="354" t="s">
        <v>211</v>
      </c>
      <c r="Z10" s="531"/>
      <c r="AA10" s="523"/>
      <c r="AB10" s="523"/>
      <c r="AC10" s="448">
        <v>1</v>
      </c>
      <c r="AD10" s="448">
        <v>5</v>
      </c>
      <c r="AE10" s="448">
        <v>12</v>
      </c>
      <c r="AF10" s="448">
        <v>419</v>
      </c>
      <c r="AG10" s="448">
        <v>1788</v>
      </c>
      <c r="AH10" s="449">
        <v>1025</v>
      </c>
      <c r="AI10" s="450">
        <v>3250</v>
      </c>
      <c r="AJ10" s="634">
        <f>SUM(AC10:AF10)</f>
        <v>437</v>
      </c>
      <c r="AL10" s="354" t="s">
        <v>211</v>
      </c>
      <c r="AM10" s="523"/>
      <c r="AN10" s="523"/>
      <c r="AO10" s="523"/>
      <c r="AP10" s="448">
        <v>1</v>
      </c>
      <c r="AQ10" s="448">
        <v>8</v>
      </c>
      <c r="AR10" s="448">
        <v>167</v>
      </c>
      <c r="AS10" s="448">
        <v>659</v>
      </c>
      <c r="AT10" s="449">
        <v>298</v>
      </c>
      <c r="AU10" s="450">
        <v>1133</v>
      </c>
      <c r="AV10" s="634">
        <f t="shared" ref="AV10:AV15" si="3">SUM(AP10:AR10)</f>
        <v>176</v>
      </c>
      <c r="AX10" s="354" t="s">
        <v>211</v>
      </c>
      <c r="AY10" s="447">
        <v>1</v>
      </c>
      <c r="AZ10" s="448">
        <v>1</v>
      </c>
      <c r="BA10" s="448">
        <v>5</v>
      </c>
      <c r="BB10" s="448">
        <v>3</v>
      </c>
      <c r="BC10" s="448">
        <v>536</v>
      </c>
      <c r="BD10" s="448">
        <v>3542</v>
      </c>
      <c r="BE10" s="449">
        <v>2975</v>
      </c>
      <c r="BF10" s="450">
        <v>7063</v>
      </c>
      <c r="BG10" s="634">
        <f t="shared" ref="BG10:BG15" si="4">SUM(AY10:BC10)</f>
        <v>546</v>
      </c>
    </row>
    <row r="11" spans="1:60" x14ac:dyDescent="0.3">
      <c r="A11" s="311" t="s">
        <v>232</v>
      </c>
      <c r="B11" s="459"/>
      <c r="C11" s="459"/>
      <c r="D11" s="459">
        <v>2</v>
      </c>
      <c r="E11" s="459">
        <v>2</v>
      </c>
      <c r="F11" s="459">
        <v>2</v>
      </c>
      <c r="G11" s="459">
        <v>23</v>
      </c>
      <c r="H11" s="459">
        <v>9175</v>
      </c>
      <c r="I11" s="459">
        <v>33415</v>
      </c>
      <c r="J11" s="461">
        <v>28726</v>
      </c>
      <c r="K11" s="462">
        <f t="shared" si="1"/>
        <v>71345</v>
      </c>
      <c r="L11" s="634">
        <f t="shared" si="2"/>
        <v>9204</v>
      </c>
      <c r="M11" s="128"/>
      <c r="N11" s="10"/>
      <c r="O11" s="354" t="s">
        <v>232</v>
      </c>
      <c r="P11" s="447">
        <v>0</v>
      </c>
      <c r="Q11" s="448">
        <v>1</v>
      </c>
      <c r="R11" s="448">
        <v>0</v>
      </c>
      <c r="S11" s="448">
        <v>8200</v>
      </c>
      <c r="T11" s="448">
        <v>28175</v>
      </c>
      <c r="U11" s="449">
        <v>23608</v>
      </c>
      <c r="V11" s="450">
        <f t="shared" si="0"/>
        <v>59984</v>
      </c>
      <c r="W11" s="634">
        <f t="shared" ref="W11:W15" si="5">SUM(P11:S11)</f>
        <v>8201</v>
      </c>
      <c r="Y11" s="354" t="s">
        <v>232</v>
      </c>
      <c r="Z11" s="531"/>
      <c r="AA11" s="523"/>
      <c r="AB11" s="523"/>
      <c r="AC11" s="448">
        <v>1</v>
      </c>
      <c r="AD11" s="523"/>
      <c r="AE11" s="448">
        <v>12</v>
      </c>
      <c r="AF11" s="448">
        <v>372</v>
      </c>
      <c r="AG11" s="448">
        <v>1576</v>
      </c>
      <c r="AH11" s="449">
        <v>1388</v>
      </c>
      <c r="AI11" s="450">
        <v>3349</v>
      </c>
      <c r="AJ11" s="634">
        <f t="shared" ref="AJ11:AJ14" si="6">SUM(AC11:AF11)</f>
        <v>385</v>
      </c>
      <c r="AL11" s="354" t="s">
        <v>232</v>
      </c>
      <c r="AM11" s="523"/>
      <c r="AN11" s="523"/>
      <c r="AO11" s="523"/>
      <c r="AP11" s="448">
        <v>1</v>
      </c>
      <c r="AQ11" s="448">
        <v>8</v>
      </c>
      <c r="AR11" s="448">
        <v>156</v>
      </c>
      <c r="AS11" s="448">
        <v>555</v>
      </c>
      <c r="AT11" s="449">
        <v>482</v>
      </c>
      <c r="AU11" s="450">
        <v>1202</v>
      </c>
      <c r="AV11" s="634">
        <f t="shared" si="3"/>
        <v>165</v>
      </c>
      <c r="AX11" s="354" t="s">
        <v>232</v>
      </c>
      <c r="AY11" s="447"/>
      <c r="AZ11" s="448"/>
      <c r="BA11" s="448">
        <v>1</v>
      </c>
      <c r="BB11" s="448">
        <v>3</v>
      </c>
      <c r="BC11" s="448">
        <v>447</v>
      </c>
      <c r="BD11" s="448">
        <v>3109</v>
      </c>
      <c r="BE11" s="449">
        <v>3248</v>
      </c>
      <c r="BF11" s="450">
        <v>6808</v>
      </c>
      <c r="BG11" s="634">
        <f t="shared" si="4"/>
        <v>451</v>
      </c>
    </row>
    <row r="12" spans="1:60" x14ac:dyDescent="0.3">
      <c r="A12" s="311" t="s">
        <v>238</v>
      </c>
      <c r="B12" s="459"/>
      <c r="C12" s="459"/>
      <c r="D12" s="459"/>
      <c r="E12" s="459">
        <v>1</v>
      </c>
      <c r="F12" s="459">
        <v>2</v>
      </c>
      <c r="G12" s="459">
        <v>14</v>
      </c>
      <c r="H12" s="459">
        <v>8371</v>
      </c>
      <c r="I12" s="459">
        <v>31161</v>
      </c>
      <c r="J12" s="461">
        <v>31718</v>
      </c>
      <c r="K12" s="462">
        <f t="shared" si="1"/>
        <v>71267</v>
      </c>
      <c r="L12" s="634">
        <f t="shared" si="2"/>
        <v>8388</v>
      </c>
      <c r="M12" s="128"/>
      <c r="N12" s="10"/>
      <c r="O12" s="354" t="s">
        <v>238</v>
      </c>
      <c r="P12" s="447">
        <v>0</v>
      </c>
      <c r="Q12" s="448">
        <v>1</v>
      </c>
      <c r="R12" s="448">
        <v>0</v>
      </c>
      <c r="S12" s="448">
        <v>7508</v>
      </c>
      <c r="T12" s="448">
        <v>26483</v>
      </c>
      <c r="U12" s="449">
        <v>26374</v>
      </c>
      <c r="V12" s="450">
        <f t="shared" si="0"/>
        <v>60366</v>
      </c>
      <c r="W12" s="634">
        <f t="shared" si="5"/>
        <v>7509</v>
      </c>
      <c r="Y12" s="354" t="s">
        <v>238</v>
      </c>
      <c r="Z12" s="531"/>
      <c r="AA12" s="523"/>
      <c r="AB12" s="523"/>
      <c r="AC12" s="448">
        <v>1</v>
      </c>
      <c r="AD12" s="523"/>
      <c r="AE12" s="448">
        <v>5</v>
      </c>
      <c r="AF12" s="448">
        <v>331</v>
      </c>
      <c r="AG12" s="448">
        <v>1493</v>
      </c>
      <c r="AH12" s="449">
        <v>1787</v>
      </c>
      <c r="AI12" s="450">
        <v>3617</v>
      </c>
      <c r="AJ12" s="634">
        <f t="shared" si="6"/>
        <v>337</v>
      </c>
      <c r="AL12" s="354" t="s">
        <v>238</v>
      </c>
      <c r="AM12" s="523"/>
      <c r="AN12" s="523"/>
      <c r="AO12" s="523"/>
      <c r="AP12" s="448">
        <v>1</v>
      </c>
      <c r="AQ12" s="448">
        <v>6</v>
      </c>
      <c r="AR12" s="448">
        <v>144</v>
      </c>
      <c r="AS12" s="448">
        <v>482</v>
      </c>
      <c r="AT12" s="449">
        <v>557</v>
      </c>
      <c r="AU12" s="450">
        <v>1190</v>
      </c>
      <c r="AV12" s="634">
        <f t="shared" si="3"/>
        <v>151</v>
      </c>
      <c r="AX12" s="354" t="s">
        <v>238</v>
      </c>
      <c r="AY12" s="447"/>
      <c r="AZ12" s="448"/>
      <c r="BA12" s="448"/>
      <c r="BB12" s="448">
        <v>3</v>
      </c>
      <c r="BC12" s="448">
        <v>388</v>
      </c>
      <c r="BD12" s="448">
        <v>2703</v>
      </c>
      <c r="BE12" s="449">
        <v>3000</v>
      </c>
      <c r="BF12" s="450">
        <v>6094</v>
      </c>
      <c r="BG12" s="634">
        <f t="shared" si="4"/>
        <v>391</v>
      </c>
    </row>
    <row r="13" spans="1:60" x14ac:dyDescent="0.3">
      <c r="A13" s="311" t="s">
        <v>239</v>
      </c>
      <c r="B13" s="463">
        <v>1</v>
      </c>
      <c r="C13" s="459"/>
      <c r="D13" s="459"/>
      <c r="E13" s="459">
        <v>1</v>
      </c>
      <c r="F13" s="459">
        <v>3</v>
      </c>
      <c r="G13" s="459">
        <v>14</v>
      </c>
      <c r="H13" s="459">
        <v>6366</v>
      </c>
      <c r="I13" s="459">
        <v>29209</v>
      </c>
      <c r="J13" s="461">
        <v>35381</v>
      </c>
      <c r="K13" s="462">
        <f t="shared" si="1"/>
        <v>70974</v>
      </c>
      <c r="L13" s="634">
        <f t="shared" si="2"/>
        <v>6385</v>
      </c>
      <c r="M13" s="128"/>
      <c r="N13" s="10"/>
      <c r="O13" s="354" t="s">
        <v>239</v>
      </c>
      <c r="P13" s="447">
        <v>0</v>
      </c>
      <c r="Q13" s="448">
        <v>2</v>
      </c>
      <c r="R13" s="448">
        <v>0</v>
      </c>
      <c r="S13" s="448">
        <v>5546</v>
      </c>
      <c r="T13" s="448">
        <v>25066</v>
      </c>
      <c r="U13" s="449">
        <v>29565</v>
      </c>
      <c r="V13" s="450">
        <f t="shared" si="0"/>
        <v>60179</v>
      </c>
      <c r="W13" s="634">
        <f t="shared" si="5"/>
        <v>5548</v>
      </c>
      <c r="Y13" s="354" t="s">
        <v>239</v>
      </c>
      <c r="Z13" s="531"/>
      <c r="AA13" s="523"/>
      <c r="AB13" s="523"/>
      <c r="AC13" s="519">
        <v>1</v>
      </c>
      <c r="AD13" s="523"/>
      <c r="AE13" s="519"/>
      <c r="AF13" s="519">
        <v>286</v>
      </c>
      <c r="AG13" s="519">
        <v>1404</v>
      </c>
      <c r="AH13" s="520">
        <v>2046</v>
      </c>
      <c r="AI13" s="450">
        <v>3737</v>
      </c>
      <c r="AJ13" s="634">
        <f t="shared" si="6"/>
        <v>287</v>
      </c>
      <c r="AL13" s="354" t="s">
        <v>239</v>
      </c>
      <c r="AM13" s="523"/>
      <c r="AN13" s="523"/>
      <c r="AO13" s="523"/>
      <c r="AP13" s="448">
        <v>1</v>
      </c>
      <c r="AQ13" s="448">
        <v>6</v>
      </c>
      <c r="AR13" s="448">
        <v>133</v>
      </c>
      <c r="AS13" s="448">
        <v>372</v>
      </c>
      <c r="AT13" s="449">
        <v>684</v>
      </c>
      <c r="AU13" s="450">
        <v>1196</v>
      </c>
      <c r="AV13" s="634">
        <f t="shared" si="3"/>
        <v>140</v>
      </c>
      <c r="AX13" s="354" t="s">
        <v>239</v>
      </c>
      <c r="AY13" s="451"/>
      <c r="AZ13" s="452"/>
      <c r="BA13" s="519"/>
      <c r="BB13" s="519">
        <v>3</v>
      </c>
      <c r="BC13" s="519">
        <v>373</v>
      </c>
      <c r="BD13" s="519">
        <v>2316</v>
      </c>
      <c r="BE13" s="520">
        <v>3193</v>
      </c>
      <c r="BF13" s="521">
        <v>5885</v>
      </c>
      <c r="BG13" s="634">
        <f t="shared" si="4"/>
        <v>376</v>
      </c>
    </row>
    <row r="14" spans="1:60" x14ac:dyDescent="0.3">
      <c r="A14" s="311" t="s">
        <v>240</v>
      </c>
      <c r="B14" s="459"/>
      <c r="C14" s="459"/>
      <c r="D14" s="459"/>
      <c r="E14" s="459">
        <v>1</v>
      </c>
      <c r="F14" s="459">
        <v>1</v>
      </c>
      <c r="G14" s="459">
        <v>2</v>
      </c>
      <c r="H14" s="459">
        <v>5588</v>
      </c>
      <c r="I14" s="459">
        <v>28114</v>
      </c>
      <c r="J14" s="461">
        <v>38213</v>
      </c>
      <c r="K14" s="462">
        <f t="shared" si="1"/>
        <v>71919</v>
      </c>
      <c r="L14" s="634">
        <f t="shared" si="2"/>
        <v>5592</v>
      </c>
      <c r="M14" s="128"/>
      <c r="N14" s="10"/>
      <c r="O14" s="354" t="s">
        <v>240</v>
      </c>
      <c r="P14" s="451">
        <v>0</v>
      </c>
      <c r="Q14" s="448">
        <v>1</v>
      </c>
      <c r="R14" s="448">
        <v>0</v>
      </c>
      <c r="S14" s="448">
        <v>4801</v>
      </c>
      <c r="T14" s="448">
        <v>24177</v>
      </c>
      <c r="U14" s="449">
        <v>32157</v>
      </c>
      <c r="V14" s="450">
        <f t="shared" si="0"/>
        <v>61136</v>
      </c>
      <c r="W14" s="634">
        <f t="shared" si="5"/>
        <v>4802</v>
      </c>
      <c r="Y14" s="354" t="s">
        <v>240</v>
      </c>
      <c r="Z14" s="531"/>
      <c r="AA14" s="523"/>
      <c r="AB14" s="523"/>
      <c r="AC14" s="523">
        <v>1</v>
      </c>
      <c r="AD14" s="519"/>
      <c r="AE14" s="519"/>
      <c r="AF14" s="519">
        <v>286</v>
      </c>
      <c r="AG14" s="519">
        <v>1404</v>
      </c>
      <c r="AH14" s="520">
        <v>2046</v>
      </c>
      <c r="AI14" s="450">
        <v>3737</v>
      </c>
      <c r="AJ14" s="634">
        <f t="shared" si="6"/>
        <v>287</v>
      </c>
      <c r="AL14" s="354" t="s">
        <v>240</v>
      </c>
      <c r="AM14" s="523"/>
      <c r="AN14" s="523"/>
      <c r="AO14" s="523"/>
      <c r="AP14" s="523"/>
      <c r="AQ14" s="448">
        <v>1</v>
      </c>
      <c r="AR14" s="448">
        <v>131</v>
      </c>
      <c r="AS14" s="448">
        <v>369</v>
      </c>
      <c r="AT14" s="449">
        <v>719</v>
      </c>
      <c r="AU14" s="450">
        <v>1220</v>
      </c>
      <c r="AV14" s="634">
        <f t="shared" si="3"/>
        <v>132</v>
      </c>
      <c r="AX14" s="354" t="s">
        <v>240</v>
      </c>
      <c r="AY14" s="451"/>
      <c r="AZ14" s="452"/>
      <c r="BA14" s="519"/>
      <c r="BB14" s="519">
        <v>1</v>
      </c>
      <c r="BC14" s="519">
        <v>370</v>
      </c>
      <c r="BD14" s="519">
        <v>2164</v>
      </c>
      <c r="BE14" s="520">
        <v>3291</v>
      </c>
      <c r="BF14" s="521">
        <v>5826</v>
      </c>
      <c r="BG14" s="634">
        <f t="shared" si="4"/>
        <v>371</v>
      </c>
    </row>
    <row r="15" spans="1:60" ht="15" x14ac:dyDescent="0.25">
      <c r="A15" s="311" t="s">
        <v>241</v>
      </c>
      <c r="B15" s="459"/>
      <c r="C15" s="459"/>
      <c r="D15" s="459"/>
      <c r="E15" s="459">
        <v>1</v>
      </c>
      <c r="F15" s="459">
        <v>1</v>
      </c>
      <c r="G15" s="459">
        <v>0</v>
      </c>
      <c r="H15" s="459">
        <v>3719</v>
      </c>
      <c r="I15" s="459">
        <v>26376</v>
      </c>
      <c r="J15" s="461">
        <v>41870</v>
      </c>
      <c r="K15" s="462">
        <f t="shared" si="1"/>
        <v>71967</v>
      </c>
      <c r="L15" s="634">
        <f t="shared" si="2"/>
        <v>3721</v>
      </c>
      <c r="M15" s="635">
        <f>L15/L9</f>
        <v>0.21798476859988283</v>
      </c>
      <c r="N15" s="10"/>
      <c r="O15" s="354" t="s">
        <v>241</v>
      </c>
      <c r="P15" s="451">
        <v>0</v>
      </c>
      <c r="Q15" s="448">
        <v>1</v>
      </c>
      <c r="R15" s="448">
        <v>0</v>
      </c>
      <c r="S15" s="448">
        <v>3109</v>
      </c>
      <c r="T15" s="448">
        <v>22797</v>
      </c>
      <c r="U15" s="449">
        <v>35015</v>
      </c>
      <c r="V15" s="450">
        <f>SUM(Q15:U15)</f>
        <v>60922</v>
      </c>
      <c r="W15" s="634">
        <f t="shared" si="5"/>
        <v>3110</v>
      </c>
      <c r="X15" s="637">
        <f>W15/W9</f>
        <v>0.20070990642142628</v>
      </c>
      <c r="Y15" s="354" t="s">
        <v>241</v>
      </c>
      <c r="Z15" s="532"/>
      <c r="AA15" s="533"/>
      <c r="AB15" s="533"/>
      <c r="AC15" s="452">
        <v>1</v>
      </c>
      <c r="AD15" s="452"/>
      <c r="AE15" s="452"/>
      <c r="AF15" s="452">
        <v>236</v>
      </c>
      <c r="AG15" s="452">
        <v>1329</v>
      </c>
      <c r="AH15" s="453">
        <v>2379</v>
      </c>
      <c r="AI15" s="450">
        <f>SUM(Z15:AH15)</f>
        <v>3945</v>
      </c>
      <c r="AJ15" s="634">
        <f>SUM(AC15:AF15)</f>
        <v>237</v>
      </c>
      <c r="AK15" s="637">
        <f>AJ15/AJ9</f>
        <v>0.34904270986745212</v>
      </c>
      <c r="AL15" s="354" t="s">
        <v>241</v>
      </c>
      <c r="AM15" s="448"/>
      <c r="AN15" s="448"/>
      <c r="AO15" s="448"/>
      <c r="AP15" s="448"/>
      <c r="AQ15" s="448"/>
      <c r="AR15" s="448">
        <v>87</v>
      </c>
      <c r="AS15" s="448">
        <v>333</v>
      </c>
      <c r="AT15" s="449">
        <v>1005</v>
      </c>
      <c r="AU15" s="450">
        <f>SUM(AM15:AT15)</f>
        <v>1425</v>
      </c>
      <c r="AV15" s="634">
        <f t="shared" si="3"/>
        <v>87</v>
      </c>
      <c r="AW15" s="637">
        <f>AV15/AV9</f>
        <v>0.42028985507246375</v>
      </c>
      <c r="AX15" s="354" t="s">
        <v>241</v>
      </c>
      <c r="AY15" s="451"/>
      <c r="AZ15" s="452"/>
      <c r="BA15" s="452"/>
      <c r="BB15" s="452"/>
      <c r="BC15" s="452">
        <v>287</v>
      </c>
      <c r="BD15" s="452">
        <v>1917</v>
      </c>
      <c r="BE15" s="453">
        <v>3471</v>
      </c>
      <c r="BF15" s="522">
        <f>SUM(AY15:BE15)</f>
        <v>5675</v>
      </c>
      <c r="BG15" s="634">
        <f t="shared" si="4"/>
        <v>287</v>
      </c>
      <c r="BH15" s="637">
        <f>BG15/BG9</f>
        <v>0.41654571843251087</v>
      </c>
    </row>
    <row r="16" spans="1:60" x14ac:dyDescent="0.3">
      <c r="A16" s="311" t="s">
        <v>242</v>
      </c>
      <c r="B16" s="459"/>
      <c r="C16" s="459"/>
      <c r="D16" s="459"/>
      <c r="E16" s="459"/>
      <c r="F16" s="459"/>
      <c r="G16" s="459"/>
      <c r="H16" s="459"/>
      <c r="I16" s="459"/>
      <c r="J16" s="461"/>
      <c r="K16" s="464">
        <f t="shared" si="1"/>
        <v>0</v>
      </c>
      <c r="L16" s="172"/>
      <c r="M16" s="128"/>
      <c r="N16" s="10"/>
      <c r="O16" s="354" t="s">
        <v>242</v>
      </c>
      <c r="P16" s="451"/>
      <c r="Q16" s="452"/>
      <c r="R16" s="452"/>
      <c r="S16" s="452"/>
      <c r="T16" s="452"/>
      <c r="U16" s="453"/>
      <c r="V16" s="454"/>
      <c r="Y16" s="354" t="s">
        <v>242</v>
      </c>
      <c r="Z16" s="532"/>
      <c r="AA16" s="533"/>
      <c r="AB16" s="533"/>
      <c r="AC16" s="452"/>
      <c r="AD16" s="452"/>
      <c r="AE16" s="452"/>
      <c r="AF16" s="452"/>
      <c r="AG16" s="452"/>
      <c r="AH16" s="453"/>
      <c r="AI16" s="454"/>
      <c r="AL16" s="354" t="s">
        <v>242</v>
      </c>
      <c r="AM16" s="448"/>
      <c r="AN16" s="448"/>
      <c r="AO16" s="448"/>
      <c r="AP16" s="448"/>
      <c r="AQ16" s="448"/>
      <c r="AR16" s="448"/>
      <c r="AS16" s="448"/>
      <c r="AT16" s="449"/>
      <c r="AU16" s="450"/>
      <c r="AX16" s="354" t="s">
        <v>242</v>
      </c>
      <c r="AY16" s="451"/>
      <c r="AZ16" s="452"/>
      <c r="BA16" s="452"/>
      <c r="BB16" s="452"/>
      <c r="BC16" s="452"/>
      <c r="BD16" s="452"/>
      <c r="BE16" s="453"/>
      <c r="BF16" s="454"/>
    </row>
    <row r="17" spans="1:59" ht="19.5" thickBot="1" x14ac:dyDescent="0.35">
      <c r="A17" s="312" t="s">
        <v>243</v>
      </c>
      <c r="B17" s="465"/>
      <c r="C17" s="465"/>
      <c r="D17" s="465"/>
      <c r="E17" s="465"/>
      <c r="F17" s="465"/>
      <c r="G17" s="465"/>
      <c r="H17" s="465"/>
      <c r="I17" s="465"/>
      <c r="J17" s="466"/>
      <c r="K17" s="467">
        <f t="shared" si="1"/>
        <v>0</v>
      </c>
      <c r="L17" s="172"/>
      <c r="M17" s="128"/>
      <c r="N17" s="10"/>
      <c r="O17" s="355" t="s">
        <v>243</v>
      </c>
      <c r="P17" s="455"/>
      <c r="Q17" s="456"/>
      <c r="R17" s="456"/>
      <c r="S17" s="456"/>
      <c r="T17" s="456"/>
      <c r="U17" s="457"/>
      <c r="V17" s="458"/>
      <c r="W17" s="10"/>
      <c r="Y17" s="355" t="s">
        <v>243</v>
      </c>
      <c r="Z17" s="534"/>
      <c r="AA17" s="535"/>
      <c r="AB17" s="535"/>
      <c r="AC17" s="456"/>
      <c r="AD17" s="456"/>
      <c r="AE17" s="456"/>
      <c r="AF17" s="456"/>
      <c r="AG17" s="456"/>
      <c r="AH17" s="457"/>
      <c r="AI17" s="458"/>
      <c r="AL17" s="355" t="s">
        <v>243</v>
      </c>
      <c r="AM17" s="526"/>
      <c r="AN17" s="526"/>
      <c r="AO17" s="526"/>
      <c r="AP17" s="526"/>
      <c r="AQ17" s="526"/>
      <c r="AR17" s="526"/>
      <c r="AS17" s="526"/>
      <c r="AT17" s="527"/>
      <c r="AU17" s="528"/>
      <c r="AX17" s="355" t="s">
        <v>243</v>
      </c>
      <c r="AY17" s="455"/>
      <c r="AZ17" s="456"/>
      <c r="BA17" s="456"/>
      <c r="BB17" s="456"/>
      <c r="BC17" s="456"/>
      <c r="BD17" s="456"/>
      <c r="BE17" s="457"/>
      <c r="BF17" s="458"/>
    </row>
    <row r="18" spans="1:59" ht="19.5" thickTop="1" x14ac:dyDescent="0.3">
      <c r="D18" s="599"/>
      <c r="E18" s="599"/>
      <c r="F18" s="599"/>
      <c r="G18" s="599"/>
      <c r="H18" s="599"/>
      <c r="I18" s="599"/>
      <c r="J18" s="599"/>
    </row>
    <row r="19" spans="1:59" x14ac:dyDescent="0.3">
      <c r="E19" s="599"/>
      <c r="F19" s="599"/>
      <c r="G19" s="599"/>
      <c r="H19" s="599"/>
      <c r="I19" s="599"/>
      <c r="J19" s="599"/>
    </row>
    <row r="20" spans="1:59" ht="19.5" thickBot="1" x14ac:dyDescent="0.35"/>
    <row r="21" spans="1:59" ht="31.5" thickTop="1" thickBot="1" x14ac:dyDescent="0.35">
      <c r="A21" s="313" t="s">
        <v>191</v>
      </c>
      <c r="B21" s="306">
        <v>2010</v>
      </c>
      <c r="C21" s="307">
        <v>2011</v>
      </c>
      <c r="D21" s="314">
        <v>2012</v>
      </c>
      <c r="E21" s="314">
        <v>2013</v>
      </c>
      <c r="F21" s="314">
        <v>2014</v>
      </c>
      <c r="G21" s="314">
        <v>2015</v>
      </c>
      <c r="H21" s="314">
        <v>2016</v>
      </c>
      <c r="I21" s="314">
        <v>2017</v>
      </c>
      <c r="J21" s="314">
        <v>2018</v>
      </c>
      <c r="K21" s="315" t="s">
        <v>74</v>
      </c>
      <c r="O21" s="399" t="s">
        <v>191</v>
      </c>
      <c r="P21" s="418">
        <v>2013</v>
      </c>
      <c r="Q21" s="419">
        <v>2014</v>
      </c>
      <c r="R21" s="419">
        <v>2015</v>
      </c>
      <c r="S21" s="419">
        <v>2016</v>
      </c>
      <c r="T21" s="419">
        <v>2017</v>
      </c>
      <c r="U21" s="420">
        <v>2018</v>
      </c>
      <c r="V21" s="421" t="s">
        <v>386</v>
      </c>
      <c r="Y21" s="469" t="s">
        <v>191</v>
      </c>
      <c r="Z21" s="480">
        <v>2010</v>
      </c>
      <c r="AA21" s="419">
        <v>2011</v>
      </c>
      <c r="AB21" s="419">
        <v>2012</v>
      </c>
      <c r="AC21" s="419">
        <v>2013</v>
      </c>
      <c r="AD21" s="419">
        <v>2014</v>
      </c>
      <c r="AE21" s="419">
        <v>2015</v>
      </c>
      <c r="AF21" s="419">
        <v>2016</v>
      </c>
      <c r="AG21" s="419">
        <v>2017</v>
      </c>
      <c r="AH21" s="481">
        <v>2018</v>
      </c>
      <c r="AI21" s="482" t="s">
        <v>386</v>
      </c>
      <c r="AL21" s="469" t="s">
        <v>191</v>
      </c>
      <c r="AM21" s="483">
        <v>2011</v>
      </c>
      <c r="AN21" s="484">
        <v>2012</v>
      </c>
      <c r="AO21" s="484">
        <v>2013</v>
      </c>
      <c r="AP21" s="484">
        <v>2014</v>
      </c>
      <c r="AQ21" s="484">
        <v>2015</v>
      </c>
      <c r="AR21" s="484">
        <v>2016</v>
      </c>
      <c r="AS21" s="484">
        <v>2017</v>
      </c>
      <c r="AT21" s="484">
        <v>2018</v>
      </c>
      <c r="AU21" s="485" t="s">
        <v>386</v>
      </c>
      <c r="AX21" s="501" t="s">
        <v>191</v>
      </c>
      <c r="AY21" s="418">
        <v>2012</v>
      </c>
      <c r="AZ21" s="419">
        <v>2013</v>
      </c>
      <c r="BA21" s="419">
        <v>2014</v>
      </c>
      <c r="BB21" s="419">
        <v>2015</v>
      </c>
      <c r="BC21" s="419">
        <v>2016</v>
      </c>
      <c r="BD21" s="419">
        <v>2017</v>
      </c>
      <c r="BE21" s="420">
        <v>2018</v>
      </c>
      <c r="BF21" s="421" t="s">
        <v>82</v>
      </c>
    </row>
    <row r="22" spans="1:59" ht="20.25" thickTop="1" thickBot="1" x14ac:dyDescent="0.35">
      <c r="A22" s="316" t="s">
        <v>193</v>
      </c>
      <c r="B22" s="317"/>
      <c r="C22" s="364"/>
      <c r="D22" s="317"/>
      <c r="E22" s="317"/>
      <c r="F22" s="369">
        <v>1</v>
      </c>
      <c r="G22" s="369">
        <v>0</v>
      </c>
      <c r="H22" s="369">
        <f>SUM(H23:H72)</f>
        <v>3109</v>
      </c>
      <c r="I22" s="369">
        <f t="shared" ref="I22:K22" si="7">SUM(I23:I72)</f>
        <v>22797</v>
      </c>
      <c r="J22" s="369">
        <f t="shared" si="7"/>
        <v>35015</v>
      </c>
      <c r="K22" s="369">
        <f t="shared" si="7"/>
        <v>60922</v>
      </c>
      <c r="O22" s="417" t="s">
        <v>193</v>
      </c>
      <c r="P22" s="422">
        <v>0</v>
      </c>
      <c r="Q22" s="423">
        <v>1</v>
      </c>
      <c r="R22" s="423">
        <v>0</v>
      </c>
      <c r="S22" s="423">
        <v>3109</v>
      </c>
      <c r="T22" s="423">
        <v>22797</v>
      </c>
      <c r="U22" s="424">
        <v>35015</v>
      </c>
      <c r="V22" s="425">
        <v>60922</v>
      </c>
      <c r="Y22" s="396" t="s">
        <v>214</v>
      </c>
      <c r="Z22" s="396"/>
      <c r="AA22" s="405"/>
      <c r="AB22" s="405"/>
      <c r="AC22" s="405">
        <v>1</v>
      </c>
      <c r="AD22" s="405"/>
      <c r="AE22" s="405"/>
      <c r="AF22" s="405">
        <v>236</v>
      </c>
      <c r="AG22" s="405">
        <v>1329</v>
      </c>
      <c r="AH22" s="479">
        <v>2379</v>
      </c>
      <c r="AI22" s="395">
        <v>3945</v>
      </c>
      <c r="AL22" s="396" t="s">
        <v>216</v>
      </c>
      <c r="AM22" s="413"/>
      <c r="AN22" s="403"/>
      <c r="AO22" s="403"/>
      <c r="AP22" s="403"/>
      <c r="AQ22" s="403"/>
      <c r="AR22" s="403">
        <v>87</v>
      </c>
      <c r="AS22" s="403">
        <v>333</v>
      </c>
      <c r="AT22" s="403">
        <v>1005</v>
      </c>
      <c r="AU22" s="404">
        <v>1425</v>
      </c>
      <c r="AX22" s="417" t="s">
        <v>213</v>
      </c>
      <c r="AY22" s="502"/>
      <c r="AZ22" s="403"/>
      <c r="BA22" s="403"/>
      <c r="BB22" s="403"/>
      <c r="BC22" s="441">
        <v>287</v>
      </c>
      <c r="BD22" s="441">
        <v>1917</v>
      </c>
      <c r="BE22" s="503">
        <v>3471</v>
      </c>
      <c r="BF22" s="504">
        <v>5675</v>
      </c>
    </row>
    <row r="23" spans="1:59" ht="16.5" thickTop="1" thickBot="1" x14ac:dyDescent="0.3">
      <c r="A23" s="129" t="s">
        <v>321</v>
      </c>
      <c r="B23" s="200"/>
      <c r="C23" s="365"/>
      <c r="D23" s="366"/>
      <c r="E23" s="366"/>
      <c r="F23" s="370"/>
      <c r="G23" s="371"/>
      <c r="H23" s="372">
        <v>1615</v>
      </c>
      <c r="I23" s="371">
        <v>4802</v>
      </c>
      <c r="J23" s="373">
        <v>5272</v>
      </c>
      <c r="K23" s="374">
        <f>SUM(B23:J23)</f>
        <v>11689</v>
      </c>
      <c r="L23" s="318">
        <f>K23/$K$22</f>
        <v>0.19186829060109648</v>
      </c>
      <c r="M23" s="803">
        <f>K22/K114</f>
        <v>0.84652688037572776</v>
      </c>
      <c r="O23" s="394" t="s">
        <v>194</v>
      </c>
      <c r="P23" s="426"/>
      <c r="Q23" s="427"/>
      <c r="R23" s="427"/>
      <c r="S23" s="427">
        <v>2114</v>
      </c>
      <c r="T23" s="427">
        <v>10153</v>
      </c>
      <c r="U23" s="428">
        <v>13629</v>
      </c>
      <c r="V23" s="429">
        <v>25896</v>
      </c>
      <c r="Y23" s="401" t="s">
        <v>195</v>
      </c>
      <c r="Z23" s="401"/>
      <c r="AA23" s="403"/>
      <c r="AB23" s="403"/>
      <c r="AC23" s="403">
        <v>1</v>
      </c>
      <c r="AD23" s="403"/>
      <c r="AE23" s="403"/>
      <c r="AF23" s="403">
        <v>236</v>
      </c>
      <c r="AG23" s="403">
        <v>1329</v>
      </c>
      <c r="AH23" s="478">
        <v>2379</v>
      </c>
      <c r="AI23" s="402">
        <v>3945</v>
      </c>
      <c r="AJ23" s="800">
        <f>AI23/AI22</f>
        <v>1</v>
      </c>
      <c r="AL23" s="401" t="s">
        <v>282</v>
      </c>
      <c r="AM23" s="413"/>
      <c r="AN23" s="403"/>
      <c r="AO23" s="403"/>
      <c r="AP23" s="403"/>
      <c r="AQ23" s="403"/>
      <c r="AR23" s="403">
        <v>68</v>
      </c>
      <c r="AS23" s="403">
        <v>218</v>
      </c>
      <c r="AT23" s="403">
        <v>325</v>
      </c>
      <c r="AU23" s="404">
        <v>611</v>
      </c>
      <c r="AX23" s="412" t="s">
        <v>319</v>
      </c>
      <c r="AY23" s="502"/>
      <c r="AZ23" s="403"/>
      <c r="BA23" s="403"/>
      <c r="BB23" s="403"/>
      <c r="BC23" s="441">
        <v>122</v>
      </c>
      <c r="BD23" s="441">
        <v>759</v>
      </c>
      <c r="BE23" s="503">
        <v>1567</v>
      </c>
      <c r="BF23" s="504">
        <v>2448</v>
      </c>
    </row>
    <row r="24" spans="1:59" ht="15.75" thickTop="1" x14ac:dyDescent="0.25">
      <c r="A24" s="130" t="s">
        <v>291</v>
      </c>
      <c r="B24" s="201"/>
      <c r="C24" s="367"/>
      <c r="D24" s="368"/>
      <c r="E24" s="368"/>
      <c r="F24" s="375"/>
      <c r="G24" s="376"/>
      <c r="H24" s="377">
        <v>450</v>
      </c>
      <c r="I24" s="376">
        <v>3494</v>
      </c>
      <c r="J24" s="378">
        <v>4023</v>
      </c>
      <c r="K24" s="379">
        <f t="shared" ref="K24:K82" si="8">SUM(B24:J24)</f>
        <v>7967</v>
      </c>
      <c r="L24" s="320">
        <f t="shared" ref="L24:L72" si="9">K24/$K$22</f>
        <v>0.13077377630412659</v>
      </c>
      <c r="M24" s="804"/>
      <c r="O24" s="400" t="s">
        <v>321</v>
      </c>
      <c r="P24" s="430"/>
      <c r="Q24" s="431"/>
      <c r="R24" s="431"/>
      <c r="S24" s="431">
        <v>1412</v>
      </c>
      <c r="T24" s="431">
        <v>3316</v>
      </c>
      <c r="U24" s="432">
        <v>3611</v>
      </c>
      <c r="V24" s="433">
        <v>8339</v>
      </c>
      <c r="W24" s="800">
        <f>V23/V22</f>
        <v>0.42506811989100818</v>
      </c>
      <c r="Y24" s="472" t="s">
        <v>291</v>
      </c>
      <c r="Z24" s="472"/>
      <c r="AA24" s="473"/>
      <c r="AB24" s="473"/>
      <c r="AC24" s="473">
        <v>1</v>
      </c>
      <c r="AD24" s="473"/>
      <c r="AE24" s="473"/>
      <c r="AF24" s="473">
        <v>100</v>
      </c>
      <c r="AG24" s="474">
        <v>483</v>
      </c>
      <c r="AH24" s="475">
        <v>644</v>
      </c>
      <c r="AI24" s="476">
        <v>1228</v>
      </c>
      <c r="AJ24" s="801"/>
      <c r="AL24" s="397" t="s">
        <v>305</v>
      </c>
      <c r="AM24" s="414"/>
      <c r="AN24" s="415"/>
      <c r="AO24" s="415"/>
      <c r="AP24" s="415"/>
      <c r="AQ24" s="415"/>
      <c r="AR24" s="415">
        <v>52</v>
      </c>
      <c r="AS24" s="415">
        <v>158</v>
      </c>
      <c r="AT24" s="415">
        <v>199</v>
      </c>
      <c r="AU24" s="416">
        <v>409</v>
      </c>
      <c r="AV24" s="800">
        <f>AU23/AU22</f>
        <v>0.42877192982456142</v>
      </c>
      <c r="AX24" s="491" t="s">
        <v>196</v>
      </c>
      <c r="AY24" s="496"/>
      <c r="AZ24" s="489"/>
      <c r="BA24" s="489"/>
      <c r="BB24" s="489"/>
      <c r="BC24" s="431">
        <v>21</v>
      </c>
      <c r="BD24" s="431">
        <v>225</v>
      </c>
      <c r="BE24" s="505">
        <v>279</v>
      </c>
      <c r="BF24" s="506">
        <v>525</v>
      </c>
      <c r="BG24" s="800">
        <f>BF23/BF22</f>
        <v>0.43136563876651984</v>
      </c>
    </row>
    <row r="25" spans="1:59" ht="15" x14ac:dyDescent="0.25">
      <c r="A25" s="130" t="s">
        <v>319</v>
      </c>
      <c r="B25" s="201"/>
      <c r="C25" s="367"/>
      <c r="D25" s="368"/>
      <c r="E25" s="368"/>
      <c r="F25" s="375"/>
      <c r="G25" s="376"/>
      <c r="H25" s="377">
        <v>75</v>
      </c>
      <c r="I25" s="376">
        <v>2273</v>
      </c>
      <c r="J25" s="378">
        <v>3248</v>
      </c>
      <c r="K25" s="379">
        <f t="shared" si="8"/>
        <v>5596</v>
      </c>
      <c r="L25" s="320">
        <f t="shared" si="9"/>
        <v>9.1855159055841892E-2</v>
      </c>
      <c r="M25" s="804"/>
      <c r="O25" s="400" t="s">
        <v>319</v>
      </c>
      <c r="P25" s="434"/>
      <c r="Q25" s="435"/>
      <c r="R25" s="435"/>
      <c r="S25" s="435">
        <v>36</v>
      </c>
      <c r="T25" s="435">
        <v>1385</v>
      </c>
      <c r="U25" s="436">
        <v>2129</v>
      </c>
      <c r="V25" s="433">
        <v>3550</v>
      </c>
      <c r="W25" s="801"/>
      <c r="Y25" s="397" t="s">
        <v>312</v>
      </c>
      <c r="Z25" s="397"/>
      <c r="AA25" s="470"/>
      <c r="AB25" s="470"/>
      <c r="AC25" s="470"/>
      <c r="AD25" s="470"/>
      <c r="AE25" s="470"/>
      <c r="AF25" s="470">
        <v>17</v>
      </c>
      <c r="AG25" s="471">
        <v>181</v>
      </c>
      <c r="AH25" s="468">
        <v>680</v>
      </c>
      <c r="AI25" s="398">
        <v>878</v>
      </c>
      <c r="AJ25" s="801"/>
      <c r="AL25" s="397" t="s">
        <v>319</v>
      </c>
      <c r="AM25" s="79"/>
      <c r="AN25" s="406"/>
      <c r="AO25" s="406"/>
      <c r="AP25" s="406"/>
      <c r="AQ25" s="406"/>
      <c r="AR25" s="406"/>
      <c r="AS25" s="406">
        <v>47</v>
      </c>
      <c r="AT25" s="406">
        <v>45</v>
      </c>
      <c r="AU25" s="407">
        <v>92</v>
      </c>
      <c r="AV25" s="801"/>
      <c r="AX25" s="492" t="s">
        <v>199</v>
      </c>
      <c r="AY25" s="497"/>
      <c r="AZ25" s="406"/>
      <c r="BA25" s="406"/>
      <c r="BB25" s="406"/>
      <c r="BC25" s="435">
        <v>3</v>
      </c>
      <c r="BD25" s="435">
        <v>11</v>
      </c>
      <c r="BE25" s="507">
        <v>312</v>
      </c>
      <c r="BF25" s="508">
        <v>326</v>
      </c>
      <c r="BG25" s="801"/>
    </row>
    <row r="26" spans="1:59" ht="15" x14ac:dyDescent="0.25">
      <c r="A26" s="130" t="s">
        <v>329</v>
      </c>
      <c r="B26" s="201"/>
      <c r="C26" s="367"/>
      <c r="D26" s="368"/>
      <c r="E26" s="368"/>
      <c r="F26" s="375"/>
      <c r="G26" s="376"/>
      <c r="H26" s="377">
        <v>262</v>
      </c>
      <c r="I26" s="376">
        <v>1899</v>
      </c>
      <c r="J26" s="378">
        <v>2515</v>
      </c>
      <c r="K26" s="379">
        <f t="shared" si="8"/>
        <v>4676</v>
      </c>
      <c r="L26" s="320">
        <f t="shared" si="9"/>
        <v>7.6753882013065891E-2</v>
      </c>
      <c r="M26" s="804"/>
      <c r="O26" s="400" t="s">
        <v>291</v>
      </c>
      <c r="P26" s="434">
        <v>0</v>
      </c>
      <c r="Q26" s="435"/>
      <c r="R26" s="435"/>
      <c r="S26" s="435">
        <v>340</v>
      </c>
      <c r="T26" s="435">
        <v>1311</v>
      </c>
      <c r="U26" s="436">
        <v>1582</v>
      </c>
      <c r="V26" s="433">
        <v>3233</v>
      </c>
      <c r="W26" s="801"/>
      <c r="Y26" s="397" t="s">
        <v>305</v>
      </c>
      <c r="Z26" s="397"/>
      <c r="AA26" s="470"/>
      <c r="AB26" s="470"/>
      <c r="AC26" s="470"/>
      <c r="AD26" s="470"/>
      <c r="AE26" s="470"/>
      <c r="AF26" s="470"/>
      <c r="AG26" s="471">
        <v>211</v>
      </c>
      <c r="AH26" s="468">
        <v>206</v>
      </c>
      <c r="AI26" s="398">
        <v>417</v>
      </c>
      <c r="AJ26" s="801"/>
      <c r="AL26" s="397" t="s">
        <v>306</v>
      </c>
      <c r="AM26" s="79"/>
      <c r="AN26" s="406"/>
      <c r="AO26" s="406"/>
      <c r="AP26" s="406"/>
      <c r="AQ26" s="406"/>
      <c r="AR26" s="406">
        <v>1</v>
      </c>
      <c r="AS26" s="406"/>
      <c r="AT26" s="406">
        <v>50</v>
      </c>
      <c r="AU26" s="407">
        <v>51</v>
      </c>
      <c r="AV26" s="801"/>
      <c r="AX26" s="492" t="s">
        <v>197</v>
      </c>
      <c r="AY26" s="497"/>
      <c r="AZ26" s="406"/>
      <c r="BA26" s="406"/>
      <c r="BB26" s="406"/>
      <c r="BC26" s="435">
        <v>1</v>
      </c>
      <c r="BD26" s="435">
        <v>42</v>
      </c>
      <c r="BE26" s="507">
        <v>247</v>
      </c>
      <c r="BF26" s="508">
        <v>290</v>
      </c>
      <c r="BG26" s="801"/>
    </row>
    <row r="27" spans="1:59" ht="15" x14ac:dyDescent="0.25">
      <c r="A27" s="130" t="s">
        <v>296</v>
      </c>
      <c r="B27" s="201"/>
      <c r="C27" s="367"/>
      <c r="D27" s="368"/>
      <c r="E27" s="368"/>
      <c r="F27" s="375"/>
      <c r="G27" s="376"/>
      <c r="H27" s="377">
        <v>34</v>
      </c>
      <c r="I27" s="376">
        <v>891</v>
      </c>
      <c r="J27" s="378">
        <v>2425</v>
      </c>
      <c r="K27" s="379">
        <f t="shared" si="8"/>
        <v>3350</v>
      </c>
      <c r="L27" s="320">
        <f t="shared" si="9"/>
        <v>5.4988345753586555E-2</v>
      </c>
      <c r="M27" s="804"/>
      <c r="O27" s="400" t="s">
        <v>285</v>
      </c>
      <c r="P27" s="434">
        <v>0</v>
      </c>
      <c r="Q27" s="435"/>
      <c r="R27" s="435"/>
      <c r="S27" s="435">
        <v>168</v>
      </c>
      <c r="T27" s="435">
        <v>941</v>
      </c>
      <c r="U27" s="436">
        <v>802</v>
      </c>
      <c r="V27" s="433">
        <v>1911</v>
      </c>
      <c r="W27" s="801"/>
      <c r="Y27" s="397" t="s">
        <v>329</v>
      </c>
      <c r="Z27" s="397"/>
      <c r="AA27" s="470"/>
      <c r="AB27" s="470"/>
      <c r="AC27" s="470"/>
      <c r="AD27" s="470"/>
      <c r="AE27" s="470"/>
      <c r="AF27" s="470">
        <v>9</v>
      </c>
      <c r="AG27" s="471">
        <v>178</v>
      </c>
      <c r="AH27" s="468">
        <v>141</v>
      </c>
      <c r="AI27" s="398">
        <v>328</v>
      </c>
      <c r="AJ27" s="801"/>
      <c r="AL27" s="397" t="s">
        <v>318</v>
      </c>
      <c r="AM27" s="79"/>
      <c r="AN27" s="406"/>
      <c r="AO27" s="406"/>
      <c r="AP27" s="406"/>
      <c r="AQ27" s="406"/>
      <c r="AR27" s="406">
        <v>1</v>
      </c>
      <c r="AS27" s="406"/>
      <c r="AT27" s="406">
        <v>23</v>
      </c>
      <c r="AU27" s="407">
        <v>24</v>
      </c>
      <c r="AV27" s="801"/>
      <c r="AX27" s="492" t="s">
        <v>198</v>
      </c>
      <c r="AY27" s="497"/>
      <c r="AZ27" s="406"/>
      <c r="BA27" s="406"/>
      <c r="BB27" s="406"/>
      <c r="BC27" s="435">
        <v>6</v>
      </c>
      <c r="BD27" s="435">
        <v>92</v>
      </c>
      <c r="BE27" s="507">
        <v>140</v>
      </c>
      <c r="BF27" s="508">
        <v>238</v>
      </c>
      <c r="BG27" s="801"/>
    </row>
    <row r="28" spans="1:59" ht="15" x14ac:dyDescent="0.25">
      <c r="A28" s="130" t="s">
        <v>285</v>
      </c>
      <c r="B28" s="201"/>
      <c r="C28" s="367"/>
      <c r="D28" s="368"/>
      <c r="E28" s="368"/>
      <c r="F28" s="375"/>
      <c r="G28" s="376"/>
      <c r="H28" s="377">
        <v>169</v>
      </c>
      <c r="I28" s="376">
        <v>1378</v>
      </c>
      <c r="J28" s="378">
        <v>1325</v>
      </c>
      <c r="K28" s="379">
        <f t="shared" si="8"/>
        <v>2872</v>
      </c>
      <c r="L28" s="320">
        <f t="shared" si="9"/>
        <v>4.7142247463970326E-2</v>
      </c>
      <c r="M28" s="804"/>
      <c r="O28" s="400" t="s">
        <v>287</v>
      </c>
      <c r="P28" s="434">
        <v>0</v>
      </c>
      <c r="Q28" s="435"/>
      <c r="R28" s="435"/>
      <c r="S28" s="435">
        <v>94</v>
      </c>
      <c r="T28" s="435">
        <v>748</v>
      </c>
      <c r="U28" s="436">
        <v>623</v>
      </c>
      <c r="V28" s="433">
        <v>1465</v>
      </c>
      <c r="W28" s="801"/>
      <c r="Y28" s="397" t="s">
        <v>323</v>
      </c>
      <c r="Z28" s="397"/>
      <c r="AA28" s="470"/>
      <c r="AB28" s="470"/>
      <c r="AC28" s="470"/>
      <c r="AD28" s="470"/>
      <c r="AE28" s="470"/>
      <c r="AF28" s="470">
        <v>80</v>
      </c>
      <c r="AG28" s="471">
        <v>89</v>
      </c>
      <c r="AH28" s="468">
        <v>78</v>
      </c>
      <c r="AI28" s="398">
        <v>247</v>
      </c>
      <c r="AJ28" s="801"/>
      <c r="AL28" s="397" t="s">
        <v>321</v>
      </c>
      <c r="AM28" s="79"/>
      <c r="AN28" s="406"/>
      <c r="AO28" s="406"/>
      <c r="AP28" s="406"/>
      <c r="AQ28" s="406"/>
      <c r="AR28" s="406">
        <v>7</v>
      </c>
      <c r="AS28" s="406">
        <v>7</v>
      </c>
      <c r="AT28" s="406">
        <v>1</v>
      </c>
      <c r="AU28" s="407">
        <v>15</v>
      </c>
      <c r="AV28" s="801"/>
      <c r="AX28" s="492" t="s">
        <v>274</v>
      </c>
      <c r="AY28" s="497"/>
      <c r="AZ28" s="406"/>
      <c r="BA28" s="406"/>
      <c r="BB28" s="406"/>
      <c r="BC28" s="435">
        <v>1</v>
      </c>
      <c r="BD28" s="435"/>
      <c r="BE28" s="507">
        <v>222</v>
      </c>
      <c r="BF28" s="508">
        <v>223</v>
      </c>
      <c r="BG28" s="801"/>
    </row>
    <row r="29" spans="1:59" ht="15" x14ac:dyDescent="0.25">
      <c r="A29" s="130" t="s">
        <v>316</v>
      </c>
      <c r="B29" s="201"/>
      <c r="C29" s="367"/>
      <c r="D29" s="368"/>
      <c r="E29" s="368"/>
      <c r="F29" s="375"/>
      <c r="G29" s="376"/>
      <c r="H29" s="377">
        <v>53</v>
      </c>
      <c r="I29" s="376">
        <v>936</v>
      </c>
      <c r="J29" s="378">
        <v>1686</v>
      </c>
      <c r="K29" s="379">
        <f t="shared" si="8"/>
        <v>2675</v>
      </c>
      <c r="L29" s="320">
        <f t="shared" si="9"/>
        <v>4.3908604445028067E-2</v>
      </c>
      <c r="M29" s="804"/>
      <c r="O29" s="400" t="s">
        <v>305</v>
      </c>
      <c r="P29" s="434">
        <v>0</v>
      </c>
      <c r="Q29" s="435"/>
      <c r="R29" s="435"/>
      <c r="S29" s="435">
        <v>7</v>
      </c>
      <c r="T29" s="435">
        <v>263</v>
      </c>
      <c r="U29" s="436">
        <v>755</v>
      </c>
      <c r="V29" s="433">
        <v>1025</v>
      </c>
      <c r="W29" s="801"/>
      <c r="Y29" s="397" t="s">
        <v>322</v>
      </c>
      <c r="Z29" s="397"/>
      <c r="AA29" s="470"/>
      <c r="AB29" s="470"/>
      <c r="AC29" s="470"/>
      <c r="AD29" s="470"/>
      <c r="AE29" s="470"/>
      <c r="AF29" s="470">
        <v>1</v>
      </c>
      <c r="AG29" s="471">
        <v>49</v>
      </c>
      <c r="AH29" s="468">
        <v>185</v>
      </c>
      <c r="AI29" s="398">
        <v>235</v>
      </c>
      <c r="AJ29" s="801"/>
      <c r="AL29" s="397" t="s">
        <v>322</v>
      </c>
      <c r="AM29" s="79"/>
      <c r="AN29" s="406"/>
      <c r="AO29" s="406"/>
      <c r="AP29" s="406"/>
      <c r="AQ29" s="406"/>
      <c r="AR29" s="406">
        <v>7</v>
      </c>
      <c r="AS29" s="406"/>
      <c r="AT29" s="406">
        <v>5</v>
      </c>
      <c r="AU29" s="407">
        <v>12</v>
      </c>
      <c r="AV29" s="801"/>
      <c r="AX29" s="492" t="s">
        <v>200</v>
      </c>
      <c r="AY29" s="497"/>
      <c r="AZ29" s="406"/>
      <c r="BA29" s="406"/>
      <c r="BB29" s="406"/>
      <c r="BC29" s="435">
        <v>41</v>
      </c>
      <c r="BD29" s="435">
        <v>105</v>
      </c>
      <c r="BE29" s="507">
        <v>23</v>
      </c>
      <c r="BF29" s="508">
        <v>169</v>
      </c>
      <c r="BG29" s="801"/>
    </row>
    <row r="30" spans="1:59" ht="15" x14ac:dyDescent="0.25">
      <c r="A30" s="130" t="s">
        <v>312</v>
      </c>
      <c r="B30" s="201"/>
      <c r="C30" s="367"/>
      <c r="D30" s="368"/>
      <c r="E30" s="368"/>
      <c r="F30" s="375"/>
      <c r="G30" s="376"/>
      <c r="H30" s="377">
        <v>33</v>
      </c>
      <c r="I30" s="376">
        <v>719</v>
      </c>
      <c r="J30" s="378">
        <v>1662</v>
      </c>
      <c r="K30" s="379">
        <f t="shared" si="8"/>
        <v>2414</v>
      </c>
      <c r="L30" s="320">
        <f t="shared" si="9"/>
        <v>3.9624437805718789E-2</v>
      </c>
      <c r="M30" s="804"/>
      <c r="O30" s="400" t="s">
        <v>316</v>
      </c>
      <c r="P30" s="434"/>
      <c r="Q30" s="435"/>
      <c r="R30" s="435"/>
      <c r="S30" s="435">
        <v>1</v>
      </c>
      <c r="T30" s="435">
        <v>248</v>
      </c>
      <c r="U30" s="436">
        <v>498</v>
      </c>
      <c r="V30" s="433">
        <v>747</v>
      </c>
      <c r="W30" s="801"/>
      <c r="Y30" s="397" t="s">
        <v>319</v>
      </c>
      <c r="Z30" s="397"/>
      <c r="AA30" s="470"/>
      <c r="AB30" s="470"/>
      <c r="AC30" s="470"/>
      <c r="AD30" s="470"/>
      <c r="AE30" s="470"/>
      <c r="AF30" s="470">
        <v>5</v>
      </c>
      <c r="AG30" s="471">
        <v>33</v>
      </c>
      <c r="AH30" s="468">
        <v>148</v>
      </c>
      <c r="AI30" s="398">
        <v>186</v>
      </c>
      <c r="AJ30" s="801"/>
      <c r="AL30" s="397" t="s">
        <v>312</v>
      </c>
      <c r="AM30" s="79"/>
      <c r="AN30" s="406"/>
      <c r="AO30" s="406"/>
      <c r="AP30" s="406"/>
      <c r="AQ30" s="406"/>
      <c r="AR30" s="406"/>
      <c r="AS30" s="406">
        <v>5</v>
      </c>
      <c r="AT30" s="406">
        <v>1</v>
      </c>
      <c r="AU30" s="407">
        <v>6</v>
      </c>
      <c r="AV30" s="801"/>
      <c r="AX30" s="492" t="s">
        <v>201</v>
      </c>
      <c r="AY30" s="497"/>
      <c r="AZ30" s="406"/>
      <c r="BA30" s="406"/>
      <c r="BB30" s="406"/>
      <c r="BC30" s="435">
        <v>17</v>
      </c>
      <c r="BD30" s="435">
        <v>70</v>
      </c>
      <c r="BE30" s="507">
        <v>70</v>
      </c>
      <c r="BF30" s="508">
        <v>157</v>
      </c>
      <c r="BG30" s="801"/>
    </row>
    <row r="31" spans="1:59" ht="15" x14ac:dyDescent="0.25">
      <c r="A31" s="130" t="s">
        <v>287</v>
      </c>
      <c r="B31" s="201"/>
      <c r="C31" s="367"/>
      <c r="D31" s="368"/>
      <c r="E31" s="368"/>
      <c r="F31" s="375"/>
      <c r="G31" s="376"/>
      <c r="H31" s="377">
        <v>100</v>
      </c>
      <c r="I31" s="376">
        <v>951</v>
      </c>
      <c r="J31" s="378">
        <v>1189</v>
      </c>
      <c r="K31" s="379">
        <f t="shared" si="8"/>
        <v>2240</v>
      </c>
      <c r="L31" s="320">
        <f t="shared" si="9"/>
        <v>3.6768326712845932E-2</v>
      </c>
      <c r="M31" s="804"/>
      <c r="O31" s="400" t="s">
        <v>303</v>
      </c>
      <c r="P31" s="434">
        <v>0</v>
      </c>
      <c r="Q31" s="435"/>
      <c r="R31" s="435"/>
      <c r="S31" s="435"/>
      <c r="T31" s="435">
        <v>283</v>
      </c>
      <c r="U31" s="436">
        <v>380</v>
      </c>
      <c r="V31" s="433">
        <v>663</v>
      </c>
      <c r="W31" s="801"/>
      <c r="Y31" s="397" t="s">
        <v>292</v>
      </c>
      <c r="Z31" s="397"/>
      <c r="AA31" s="470"/>
      <c r="AB31" s="470"/>
      <c r="AC31" s="470"/>
      <c r="AD31" s="470"/>
      <c r="AE31" s="470"/>
      <c r="AF31" s="470">
        <v>13</v>
      </c>
      <c r="AG31" s="471">
        <v>35</v>
      </c>
      <c r="AH31" s="468">
        <v>124</v>
      </c>
      <c r="AI31" s="398">
        <v>172</v>
      </c>
      <c r="AJ31" s="801"/>
      <c r="AL31" s="397" t="s">
        <v>284</v>
      </c>
      <c r="AM31" s="79"/>
      <c r="AN31" s="406"/>
      <c r="AO31" s="406"/>
      <c r="AP31" s="406"/>
      <c r="AQ31" s="406"/>
      <c r="AR31" s="406"/>
      <c r="AS31" s="406"/>
      <c r="AT31" s="406">
        <v>1</v>
      </c>
      <c r="AU31" s="407">
        <v>1</v>
      </c>
      <c r="AV31" s="801"/>
      <c r="AX31" s="492" t="s">
        <v>205</v>
      </c>
      <c r="AY31" s="497"/>
      <c r="AZ31" s="406"/>
      <c r="BA31" s="406"/>
      <c r="BB31" s="406"/>
      <c r="BC31" s="435">
        <v>10</v>
      </c>
      <c r="BD31" s="435">
        <v>46</v>
      </c>
      <c r="BE31" s="507">
        <v>93</v>
      </c>
      <c r="BF31" s="508">
        <v>149</v>
      </c>
      <c r="BG31" s="801"/>
    </row>
    <row r="32" spans="1:59" ht="15.75" thickBot="1" x14ac:dyDescent="0.3">
      <c r="A32" s="130" t="s">
        <v>332</v>
      </c>
      <c r="B32" s="201"/>
      <c r="C32" s="367"/>
      <c r="D32" s="368"/>
      <c r="E32" s="368"/>
      <c r="F32" s="375"/>
      <c r="G32" s="376"/>
      <c r="H32" s="377">
        <v>18</v>
      </c>
      <c r="I32" s="376">
        <v>762</v>
      </c>
      <c r="J32" s="378">
        <v>1014</v>
      </c>
      <c r="K32" s="379">
        <f t="shared" si="8"/>
        <v>1794</v>
      </c>
      <c r="L32" s="320">
        <f t="shared" si="9"/>
        <v>2.9447490233413216E-2</v>
      </c>
      <c r="M32" s="804"/>
      <c r="O32" s="400" t="s">
        <v>332</v>
      </c>
      <c r="P32" s="434"/>
      <c r="Q32" s="435"/>
      <c r="R32" s="435"/>
      <c r="S32" s="435"/>
      <c r="T32" s="435">
        <v>196</v>
      </c>
      <c r="U32" s="436">
        <v>346</v>
      </c>
      <c r="V32" s="433">
        <v>542</v>
      </c>
      <c r="W32" s="801"/>
      <c r="Y32" s="397" t="s">
        <v>330</v>
      </c>
      <c r="Z32" s="397"/>
      <c r="AA32" s="470"/>
      <c r="AB32" s="470"/>
      <c r="AC32" s="470"/>
      <c r="AD32" s="470"/>
      <c r="AE32" s="470"/>
      <c r="AF32" s="470"/>
      <c r="AG32" s="471">
        <v>27</v>
      </c>
      <c r="AH32" s="468">
        <v>69</v>
      </c>
      <c r="AI32" s="398">
        <v>96</v>
      </c>
      <c r="AJ32" s="801"/>
      <c r="AL32" s="397" t="s">
        <v>292</v>
      </c>
      <c r="AM32" s="408"/>
      <c r="AN32" s="409"/>
      <c r="AO32" s="409"/>
      <c r="AP32" s="409"/>
      <c r="AQ32" s="409"/>
      <c r="AR32" s="409"/>
      <c r="AS32" s="409">
        <v>1</v>
      </c>
      <c r="AT32" s="409"/>
      <c r="AU32" s="410">
        <v>1</v>
      </c>
      <c r="AV32" s="802"/>
      <c r="AX32" s="492" t="s">
        <v>202</v>
      </c>
      <c r="AY32" s="497"/>
      <c r="AZ32" s="406"/>
      <c r="BA32" s="406"/>
      <c r="BB32" s="406"/>
      <c r="BC32" s="435">
        <v>2</v>
      </c>
      <c r="BD32" s="435">
        <v>24</v>
      </c>
      <c r="BE32" s="507">
        <v>39</v>
      </c>
      <c r="BF32" s="508">
        <v>65</v>
      </c>
      <c r="BG32" s="801"/>
    </row>
    <row r="33" spans="1:59" ht="16.5" thickTop="1" thickBot="1" x14ac:dyDescent="0.3">
      <c r="A33" s="130" t="s">
        <v>317</v>
      </c>
      <c r="B33" s="201"/>
      <c r="C33" s="367"/>
      <c r="D33" s="368"/>
      <c r="E33" s="368"/>
      <c r="F33" s="375"/>
      <c r="G33" s="376"/>
      <c r="H33" s="377">
        <v>28</v>
      </c>
      <c r="I33" s="376">
        <v>431</v>
      </c>
      <c r="J33" s="378">
        <v>1332</v>
      </c>
      <c r="K33" s="379">
        <f t="shared" si="8"/>
        <v>1791</v>
      </c>
      <c r="L33" s="320">
        <f t="shared" si="9"/>
        <v>2.9398246938708513E-2</v>
      </c>
      <c r="M33" s="804"/>
      <c r="O33" s="400" t="s">
        <v>317</v>
      </c>
      <c r="P33" s="434"/>
      <c r="Q33" s="435"/>
      <c r="R33" s="435"/>
      <c r="S33" s="435">
        <v>2</v>
      </c>
      <c r="T33" s="435">
        <v>98</v>
      </c>
      <c r="U33" s="436">
        <v>414</v>
      </c>
      <c r="V33" s="433">
        <v>514</v>
      </c>
      <c r="W33" s="801"/>
      <c r="Y33" s="397" t="s">
        <v>321</v>
      </c>
      <c r="Z33" s="397"/>
      <c r="AA33" s="470"/>
      <c r="AB33" s="470"/>
      <c r="AC33" s="470"/>
      <c r="AD33" s="470"/>
      <c r="AE33" s="470"/>
      <c r="AF33" s="470">
        <v>5</v>
      </c>
      <c r="AG33" s="471">
        <v>9</v>
      </c>
      <c r="AH33" s="468">
        <v>38</v>
      </c>
      <c r="AI33" s="398">
        <v>52</v>
      </c>
      <c r="AJ33" s="801"/>
      <c r="AL33" s="401" t="s">
        <v>204</v>
      </c>
      <c r="AM33" s="413"/>
      <c r="AN33" s="403"/>
      <c r="AO33" s="403"/>
      <c r="AP33" s="403"/>
      <c r="AQ33" s="403"/>
      <c r="AR33" s="403">
        <v>12</v>
      </c>
      <c r="AS33" s="403">
        <v>54</v>
      </c>
      <c r="AT33" s="403">
        <v>448</v>
      </c>
      <c r="AU33" s="404">
        <v>514</v>
      </c>
      <c r="AX33" s="492" t="s">
        <v>203</v>
      </c>
      <c r="AY33" s="497"/>
      <c r="AZ33" s="406"/>
      <c r="BA33" s="406"/>
      <c r="BB33" s="406"/>
      <c r="BC33" s="435">
        <v>4</v>
      </c>
      <c r="BD33" s="435">
        <v>22</v>
      </c>
      <c r="BE33" s="507">
        <v>34</v>
      </c>
      <c r="BF33" s="508">
        <v>60</v>
      </c>
      <c r="BG33" s="801"/>
    </row>
    <row r="34" spans="1:59" ht="15.75" thickTop="1" x14ac:dyDescent="0.25">
      <c r="A34" s="130" t="s">
        <v>305</v>
      </c>
      <c r="B34" s="201"/>
      <c r="C34" s="367"/>
      <c r="D34" s="368"/>
      <c r="E34" s="368"/>
      <c r="F34" s="375"/>
      <c r="G34" s="376"/>
      <c r="H34" s="377">
        <v>15</v>
      </c>
      <c r="I34" s="376">
        <v>352</v>
      </c>
      <c r="J34" s="378">
        <v>1412</v>
      </c>
      <c r="K34" s="379">
        <f t="shared" si="8"/>
        <v>1779</v>
      </c>
      <c r="L34" s="320">
        <f t="shared" si="9"/>
        <v>2.9201273759889696E-2</v>
      </c>
      <c r="M34" s="804"/>
      <c r="O34" s="400" t="s">
        <v>301</v>
      </c>
      <c r="P34" s="434">
        <v>0</v>
      </c>
      <c r="Q34" s="435"/>
      <c r="R34" s="435"/>
      <c r="S34" s="435"/>
      <c r="T34" s="435">
        <v>198</v>
      </c>
      <c r="U34" s="436">
        <v>216</v>
      </c>
      <c r="V34" s="433">
        <v>414</v>
      </c>
      <c r="W34" s="801"/>
      <c r="Y34" s="397" t="s">
        <v>318</v>
      </c>
      <c r="Z34" s="397"/>
      <c r="AA34" s="470"/>
      <c r="AB34" s="470"/>
      <c r="AC34" s="470"/>
      <c r="AD34" s="470"/>
      <c r="AE34" s="470"/>
      <c r="AF34" s="470"/>
      <c r="AG34" s="471">
        <v>8</v>
      </c>
      <c r="AH34" s="468">
        <v>14</v>
      </c>
      <c r="AI34" s="398">
        <v>22</v>
      </c>
      <c r="AJ34" s="801"/>
      <c r="AL34" s="397" t="s">
        <v>319</v>
      </c>
      <c r="AM34" s="414"/>
      <c r="AN34" s="415"/>
      <c r="AO34" s="415"/>
      <c r="AP34" s="415"/>
      <c r="AQ34" s="415"/>
      <c r="AR34" s="415">
        <v>6</v>
      </c>
      <c r="AS34" s="415">
        <v>52</v>
      </c>
      <c r="AT34" s="415">
        <v>434</v>
      </c>
      <c r="AU34" s="416">
        <v>492</v>
      </c>
      <c r="AV34" s="808">
        <f>AU33/AU22</f>
        <v>0.36070175438596491</v>
      </c>
      <c r="AX34" s="492" t="s">
        <v>207</v>
      </c>
      <c r="AY34" s="497"/>
      <c r="AZ34" s="406"/>
      <c r="BA34" s="406"/>
      <c r="BB34" s="406"/>
      <c r="BC34" s="435">
        <v>3</v>
      </c>
      <c r="BD34" s="435">
        <v>27</v>
      </c>
      <c r="BE34" s="507">
        <v>11</v>
      </c>
      <c r="BF34" s="508">
        <v>41</v>
      </c>
      <c r="BG34" s="801"/>
    </row>
    <row r="35" spans="1:59" ht="15.75" thickBot="1" x14ac:dyDescent="0.3">
      <c r="A35" s="130" t="s">
        <v>330</v>
      </c>
      <c r="B35" s="201"/>
      <c r="C35" s="367"/>
      <c r="D35" s="368"/>
      <c r="E35" s="368"/>
      <c r="F35" s="375"/>
      <c r="G35" s="376"/>
      <c r="H35" s="377">
        <v>65</v>
      </c>
      <c r="I35" s="376">
        <v>362</v>
      </c>
      <c r="J35" s="378">
        <v>860</v>
      </c>
      <c r="K35" s="379">
        <f t="shared" si="8"/>
        <v>1287</v>
      </c>
      <c r="L35" s="320">
        <f t="shared" si="9"/>
        <v>2.1125373428318179E-2</v>
      </c>
      <c r="M35" s="804"/>
      <c r="O35" s="400" t="s">
        <v>313</v>
      </c>
      <c r="P35" s="434">
        <v>0</v>
      </c>
      <c r="Q35" s="435"/>
      <c r="R35" s="435"/>
      <c r="S35" s="435">
        <v>14</v>
      </c>
      <c r="T35" s="435">
        <v>157</v>
      </c>
      <c r="U35" s="436">
        <v>170</v>
      </c>
      <c r="V35" s="433">
        <v>341</v>
      </c>
      <c r="W35" s="801"/>
      <c r="Y35" s="397" t="s">
        <v>313</v>
      </c>
      <c r="Z35" s="397"/>
      <c r="AA35" s="470"/>
      <c r="AB35" s="470"/>
      <c r="AC35" s="470"/>
      <c r="AD35" s="470"/>
      <c r="AE35" s="470"/>
      <c r="AF35" s="470"/>
      <c r="AG35" s="471">
        <v>13</v>
      </c>
      <c r="AH35" s="468">
        <v>8</v>
      </c>
      <c r="AI35" s="398">
        <v>21</v>
      </c>
      <c r="AJ35" s="801"/>
      <c r="AL35" s="397" t="s">
        <v>321</v>
      </c>
      <c r="AM35" s="79"/>
      <c r="AN35" s="406"/>
      <c r="AO35" s="406"/>
      <c r="AP35" s="406"/>
      <c r="AQ35" s="406"/>
      <c r="AR35" s="406">
        <v>6</v>
      </c>
      <c r="AS35" s="406">
        <v>2</v>
      </c>
      <c r="AT35" s="406">
        <v>14</v>
      </c>
      <c r="AU35" s="407">
        <v>22</v>
      </c>
      <c r="AV35" s="809"/>
      <c r="AX35" s="492" t="s">
        <v>272</v>
      </c>
      <c r="AY35" s="497"/>
      <c r="AZ35" s="406"/>
      <c r="BA35" s="406"/>
      <c r="BB35" s="406"/>
      <c r="BC35" s="435"/>
      <c r="BD35" s="435"/>
      <c r="BE35" s="507">
        <v>39</v>
      </c>
      <c r="BF35" s="508">
        <v>39</v>
      </c>
      <c r="BG35" s="801"/>
    </row>
    <row r="36" spans="1:59" ht="16.5" thickTop="1" thickBot="1" x14ac:dyDescent="0.3">
      <c r="A36" s="130" t="s">
        <v>303</v>
      </c>
      <c r="B36" s="201"/>
      <c r="C36" s="367"/>
      <c r="D36" s="368"/>
      <c r="E36" s="368"/>
      <c r="F36" s="375"/>
      <c r="G36" s="376"/>
      <c r="H36" s="377">
        <v>1</v>
      </c>
      <c r="I36" s="376">
        <v>494</v>
      </c>
      <c r="J36" s="378">
        <v>767</v>
      </c>
      <c r="K36" s="379">
        <f t="shared" si="8"/>
        <v>1262</v>
      </c>
      <c r="L36" s="320">
        <f t="shared" si="9"/>
        <v>2.0715012639112306E-2</v>
      </c>
      <c r="M36" s="804"/>
      <c r="O36" s="400" t="s">
        <v>292</v>
      </c>
      <c r="P36" s="434">
        <v>0</v>
      </c>
      <c r="Q36" s="435"/>
      <c r="R36" s="435"/>
      <c r="S36" s="435">
        <v>6</v>
      </c>
      <c r="T36" s="435">
        <v>113</v>
      </c>
      <c r="U36" s="436">
        <v>214</v>
      </c>
      <c r="V36" s="433">
        <v>333</v>
      </c>
      <c r="W36" s="801"/>
      <c r="Y36" s="397" t="s">
        <v>324</v>
      </c>
      <c r="Z36" s="397"/>
      <c r="AA36" s="470"/>
      <c r="AB36" s="470"/>
      <c r="AC36" s="470"/>
      <c r="AD36" s="470"/>
      <c r="AE36" s="470"/>
      <c r="AF36" s="470"/>
      <c r="AG36" s="471"/>
      <c r="AH36" s="468">
        <v>21</v>
      </c>
      <c r="AI36" s="398">
        <v>21</v>
      </c>
      <c r="AJ36" s="801"/>
      <c r="AL36" s="401" t="s">
        <v>281</v>
      </c>
      <c r="AM36" s="413"/>
      <c r="AN36" s="403"/>
      <c r="AO36" s="403"/>
      <c r="AP36" s="403"/>
      <c r="AQ36" s="403"/>
      <c r="AR36" s="403">
        <v>3</v>
      </c>
      <c r="AS36" s="403">
        <v>40</v>
      </c>
      <c r="AT36" s="403">
        <v>188</v>
      </c>
      <c r="AU36" s="404">
        <v>231</v>
      </c>
      <c r="AX36" s="492" t="s">
        <v>208</v>
      </c>
      <c r="AY36" s="497"/>
      <c r="AZ36" s="406"/>
      <c r="BA36" s="406"/>
      <c r="BB36" s="406"/>
      <c r="BC36" s="435">
        <v>1</v>
      </c>
      <c r="BD36" s="435">
        <v>27</v>
      </c>
      <c r="BE36" s="507">
        <v>4</v>
      </c>
      <c r="BF36" s="508">
        <v>32</v>
      </c>
      <c r="BG36" s="801"/>
    </row>
    <row r="37" spans="1:59" ht="15.75" thickTop="1" x14ac:dyDescent="0.25">
      <c r="A37" s="130" t="s">
        <v>310</v>
      </c>
      <c r="B37" s="201"/>
      <c r="C37" s="367"/>
      <c r="D37" s="368"/>
      <c r="E37" s="368"/>
      <c r="F37" s="375"/>
      <c r="G37" s="376"/>
      <c r="H37" s="377">
        <v>4</v>
      </c>
      <c r="I37" s="376">
        <v>439</v>
      </c>
      <c r="J37" s="378">
        <v>581</v>
      </c>
      <c r="K37" s="379">
        <f t="shared" si="8"/>
        <v>1024</v>
      </c>
      <c r="L37" s="320">
        <f t="shared" si="9"/>
        <v>1.6808377925872427E-2</v>
      </c>
      <c r="M37" s="804"/>
      <c r="O37" s="400" t="s">
        <v>312</v>
      </c>
      <c r="P37" s="434">
        <v>0</v>
      </c>
      <c r="Q37" s="435"/>
      <c r="R37" s="435"/>
      <c r="S37" s="435">
        <v>1</v>
      </c>
      <c r="T37" s="435">
        <v>119</v>
      </c>
      <c r="U37" s="436">
        <v>192</v>
      </c>
      <c r="V37" s="433">
        <v>312</v>
      </c>
      <c r="W37" s="801"/>
      <c r="Y37" s="397" t="s">
        <v>306</v>
      </c>
      <c r="Z37" s="397"/>
      <c r="AA37" s="470"/>
      <c r="AB37" s="470"/>
      <c r="AC37" s="470"/>
      <c r="AD37" s="470"/>
      <c r="AE37" s="470"/>
      <c r="AF37" s="470"/>
      <c r="AG37" s="471">
        <v>6</v>
      </c>
      <c r="AH37" s="468">
        <v>9</v>
      </c>
      <c r="AI37" s="398">
        <v>15</v>
      </c>
      <c r="AJ37" s="801"/>
      <c r="AL37" s="397" t="s">
        <v>319</v>
      </c>
      <c r="AM37" s="79"/>
      <c r="AN37" s="406"/>
      <c r="AO37" s="406"/>
      <c r="AP37" s="406"/>
      <c r="AQ37" s="406"/>
      <c r="AR37" s="406"/>
      <c r="AS37" s="406">
        <v>38</v>
      </c>
      <c r="AT37" s="406">
        <v>177</v>
      </c>
      <c r="AU37" s="407">
        <v>215</v>
      </c>
      <c r="AV37" s="808">
        <f>AU36/AU22</f>
        <v>0.16210526315789472</v>
      </c>
      <c r="AX37" s="492" t="s">
        <v>268</v>
      </c>
      <c r="AY37" s="497"/>
      <c r="AZ37" s="406"/>
      <c r="BA37" s="406"/>
      <c r="BB37" s="406"/>
      <c r="BC37" s="435">
        <v>4</v>
      </c>
      <c r="BD37" s="435">
        <v>23</v>
      </c>
      <c r="BE37" s="507">
        <v>2</v>
      </c>
      <c r="BF37" s="508">
        <v>29</v>
      </c>
      <c r="BG37" s="801"/>
    </row>
    <row r="38" spans="1:59" ht="15.75" thickBot="1" x14ac:dyDescent="0.3">
      <c r="A38" s="130" t="s">
        <v>315</v>
      </c>
      <c r="B38" s="201"/>
      <c r="C38" s="367"/>
      <c r="D38" s="368"/>
      <c r="E38" s="368"/>
      <c r="F38" s="375"/>
      <c r="G38" s="376"/>
      <c r="H38" s="377">
        <v>62</v>
      </c>
      <c r="I38" s="376">
        <v>285</v>
      </c>
      <c r="J38" s="378">
        <v>600</v>
      </c>
      <c r="K38" s="379">
        <f t="shared" si="8"/>
        <v>947</v>
      </c>
      <c r="L38" s="320">
        <f t="shared" si="9"/>
        <v>1.5544466695118348E-2</v>
      </c>
      <c r="M38" s="804"/>
      <c r="O38" s="400" t="s">
        <v>323</v>
      </c>
      <c r="P38" s="434"/>
      <c r="Q38" s="435"/>
      <c r="R38" s="435"/>
      <c r="S38" s="435">
        <v>5</v>
      </c>
      <c r="T38" s="435">
        <v>99</v>
      </c>
      <c r="U38" s="436">
        <v>198</v>
      </c>
      <c r="V38" s="433">
        <v>302</v>
      </c>
      <c r="W38" s="801"/>
      <c r="Y38" s="397" t="s">
        <v>294</v>
      </c>
      <c r="Z38" s="397"/>
      <c r="AA38" s="470"/>
      <c r="AB38" s="470"/>
      <c r="AC38" s="470"/>
      <c r="AD38" s="470"/>
      <c r="AE38" s="470"/>
      <c r="AF38" s="470">
        <v>6</v>
      </c>
      <c r="AG38" s="471">
        <v>2</v>
      </c>
      <c r="AH38" s="468"/>
      <c r="AI38" s="398">
        <v>8</v>
      </c>
      <c r="AJ38" s="801"/>
      <c r="AL38" s="397" t="s">
        <v>321</v>
      </c>
      <c r="AM38" s="79"/>
      <c r="AN38" s="406"/>
      <c r="AO38" s="406"/>
      <c r="AP38" s="406"/>
      <c r="AQ38" s="406"/>
      <c r="AR38" s="406">
        <v>3</v>
      </c>
      <c r="AS38" s="406">
        <v>2</v>
      </c>
      <c r="AT38" s="406">
        <v>11</v>
      </c>
      <c r="AU38" s="407">
        <v>16</v>
      </c>
      <c r="AV38" s="809"/>
      <c r="AX38" s="492" t="s">
        <v>206</v>
      </c>
      <c r="AY38" s="497"/>
      <c r="AZ38" s="406"/>
      <c r="BA38" s="406"/>
      <c r="BB38" s="406"/>
      <c r="BC38" s="435"/>
      <c r="BD38" s="435">
        <v>14</v>
      </c>
      <c r="BE38" s="507">
        <v>14</v>
      </c>
      <c r="BF38" s="508">
        <v>28</v>
      </c>
      <c r="BG38" s="801"/>
    </row>
    <row r="39" spans="1:59" ht="16.5" thickTop="1" thickBot="1" x14ac:dyDescent="0.3">
      <c r="A39" s="130" t="s">
        <v>292</v>
      </c>
      <c r="B39" s="201"/>
      <c r="C39" s="367"/>
      <c r="D39" s="368"/>
      <c r="E39" s="368"/>
      <c r="F39" s="375"/>
      <c r="G39" s="376"/>
      <c r="H39" s="377">
        <v>20</v>
      </c>
      <c r="I39" s="376">
        <v>212</v>
      </c>
      <c r="J39" s="378">
        <v>620</v>
      </c>
      <c r="K39" s="379">
        <f t="shared" si="8"/>
        <v>852</v>
      </c>
      <c r="L39" s="320">
        <f t="shared" si="9"/>
        <v>1.3985095696136042E-2</v>
      </c>
      <c r="M39" s="804"/>
      <c r="O39" s="400" t="s">
        <v>298</v>
      </c>
      <c r="P39" s="434">
        <v>0</v>
      </c>
      <c r="Q39" s="435"/>
      <c r="R39" s="435"/>
      <c r="S39" s="435"/>
      <c r="T39" s="435">
        <v>122</v>
      </c>
      <c r="U39" s="436">
        <v>166</v>
      </c>
      <c r="V39" s="433">
        <v>288</v>
      </c>
      <c r="W39" s="801"/>
      <c r="Y39" s="397" t="s">
        <v>303</v>
      </c>
      <c r="Z39" s="397"/>
      <c r="AA39" s="470"/>
      <c r="AB39" s="470"/>
      <c r="AC39" s="470"/>
      <c r="AD39" s="470"/>
      <c r="AE39" s="470"/>
      <c r="AF39" s="470"/>
      <c r="AG39" s="471"/>
      <c r="AH39" s="468">
        <v>8</v>
      </c>
      <c r="AI39" s="398">
        <v>8</v>
      </c>
      <c r="AJ39" s="801"/>
      <c r="AL39" s="401" t="s">
        <v>210</v>
      </c>
      <c r="AM39" s="413"/>
      <c r="AN39" s="403"/>
      <c r="AO39" s="403"/>
      <c r="AP39" s="403"/>
      <c r="AQ39" s="403"/>
      <c r="AR39" s="403">
        <v>3</v>
      </c>
      <c r="AS39" s="403">
        <v>5</v>
      </c>
      <c r="AT39" s="403">
        <v>31</v>
      </c>
      <c r="AU39" s="404">
        <v>39</v>
      </c>
      <c r="AX39" s="492" t="s">
        <v>209</v>
      </c>
      <c r="AY39" s="497"/>
      <c r="AZ39" s="406"/>
      <c r="BA39" s="406"/>
      <c r="BB39" s="406"/>
      <c r="BC39" s="435"/>
      <c r="BD39" s="435">
        <v>7</v>
      </c>
      <c r="BE39" s="507">
        <v>14</v>
      </c>
      <c r="BF39" s="508">
        <v>21</v>
      </c>
      <c r="BG39" s="801"/>
    </row>
    <row r="40" spans="1:59" ht="15.75" thickTop="1" x14ac:dyDescent="0.25">
      <c r="A40" s="130" t="s">
        <v>323</v>
      </c>
      <c r="B40" s="201"/>
      <c r="C40" s="367"/>
      <c r="D40" s="368"/>
      <c r="E40" s="368"/>
      <c r="F40" s="375"/>
      <c r="G40" s="376"/>
      <c r="H40" s="377">
        <v>20</v>
      </c>
      <c r="I40" s="376">
        <v>224</v>
      </c>
      <c r="J40" s="378">
        <v>448</v>
      </c>
      <c r="K40" s="379">
        <f t="shared" si="8"/>
        <v>692</v>
      </c>
      <c r="L40" s="320">
        <f t="shared" si="9"/>
        <v>1.1358786645218477E-2</v>
      </c>
      <c r="M40" s="804"/>
      <c r="O40" s="400" t="s">
        <v>286</v>
      </c>
      <c r="P40" s="434">
        <v>0</v>
      </c>
      <c r="Q40" s="435"/>
      <c r="R40" s="435"/>
      <c r="S40" s="435">
        <v>5</v>
      </c>
      <c r="T40" s="435">
        <v>49</v>
      </c>
      <c r="U40" s="436">
        <v>175</v>
      </c>
      <c r="V40" s="433">
        <v>229</v>
      </c>
      <c r="W40" s="801"/>
      <c r="Y40" s="397" t="s">
        <v>290</v>
      </c>
      <c r="Z40" s="397"/>
      <c r="AA40" s="470"/>
      <c r="AB40" s="470"/>
      <c r="AC40" s="470"/>
      <c r="AD40" s="470"/>
      <c r="AE40" s="470"/>
      <c r="AF40" s="470"/>
      <c r="AG40" s="471">
        <v>2</v>
      </c>
      <c r="AH40" s="468">
        <v>3</v>
      </c>
      <c r="AI40" s="398">
        <v>5</v>
      </c>
      <c r="AJ40" s="801"/>
      <c r="AL40" s="397" t="s">
        <v>319</v>
      </c>
      <c r="AM40" s="79"/>
      <c r="AN40" s="406"/>
      <c r="AO40" s="406"/>
      <c r="AP40" s="406"/>
      <c r="AQ40" s="406"/>
      <c r="AR40" s="406">
        <v>3</v>
      </c>
      <c r="AS40" s="406">
        <v>5</v>
      </c>
      <c r="AT40" s="406">
        <v>28</v>
      </c>
      <c r="AU40" s="407">
        <v>36</v>
      </c>
      <c r="AV40" s="808">
        <f>AU39/AU22</f>
        <v>2.736842105263158E-2</v>
      </c>
      <c r="AX40" s="492" t="s">
        <v>335</v>
      </c>
      <c r="AY40" s="497"/>
      <c r="AZ40" s="406"/>
      <c r="BA40" s="406"/>
      <c r="BB40" s="406"/>
      <c r="BC40" s="435"/>
      <c r="BD40" s="435">
        <v>16</v>
      </c>
      <c r="BE40" s="507"/>
      <c r="BF40" s="508">
        <v>16</v>
      </c>
      <c r="BG40" s="801"/>
    </row>
    <row r="41" spans="1:59" ht="15" x14ac:dyDescent="0.25">
      <c r="A41" s="130" t="s">
        <v>318</v>
      </c>
      <c r="B41" s="201"/>
      <c r="C41" s="367"/>
      <c r="D41" s="368"/>
      <c r="E41" s="368"/>
      <c r="F41" s="375"/>
      <c r="G41" s="376"/>
      <c r="H41" s="377">
        <v>1</v>
      </c>
      <c r="I41" s="376">
        <v>171</v>
      </c>
      <c r="J41" s="378">
        <v>462</v>
      </c>
      <c r="K41" s="379">
        <f t="shared" si="8"/>
        <v>634</v>
      </c>
      <c r="L41" s="320">
        <f t="shared" si="9"/>
        <v>1.0406749614260857E-2</v>
      </c>
      <c r="M41" s="804"/>
      <c r="O41" s="400" t="s">
        <v>324</v>
      </c>
      <c r="P41" s="434"/>
      <c r="Q41" s="435"/>
      <c r="R41" s="435"/>
      <c r="S41" s="435">
        <v>8</v>
      </c>
      <c r="T41" s="435">
        <v>71</v>
      </c>
      <c r="U41" s="436">
        <v>148</v>
      </c>
      <c r="V41" s="433">
        <v>227</v>
      </c>
      <c r="W41" s="801"/>
      <c r="Y41" s="397" t="s">
        <v>284</v>
      </c>
      <c r="Z41" s="397"/>
      <c r="AA41" s="470"/>
      <c r="AB41" s="470"/>
      <c r="AC41" s="470"/>
      <c r="AD41" s="470"/>
      <c r="AE41" s="470"/>
      <c r="AF41" s="470"/>
      <c r="AG41" s="471"/>
      <c r="AH41" s="468">
        <v>2</v>
      </c>
      <c r="AI41" s="398">
        <v>2</v>
      </c>
      <c r="AJ41" s="801"/>
      <c r="AL41" s="397" t="s">
        <v>321</v>
      </c>
      <c r="AM41" s="79"/>
      <c r="AN41" s="406"/>
      <c r="AO41" s="406"/>
      <c r="AP41" s="406"/>
      <c r="AQ41" s="406"/>
      <c r="AR41" s="406"/>
      <c r="AS41" s="406"/>
      <c r="AT41" s="406">
        <v>2</v>
      </c>
      <c r="AU41" s="407">
        <v>2</v>
      </c>
      <c r="AV41" s="810"/>
      <c r="AX41" s="492" t="s">
        <v>270</v>
      </c>
      <c r="AY41" s="497"/>
      <c r="AZ41" s="406"/>
      <c r="BA41" s="406"/>
      <c r="BB41" s="406"/>
      <c r="BC41" s="435">
        <v>6</v>
      </c>
      <c r="BD41" s="435">
        <v>3</v>
      </c>
      <c r="BE41" s="507">
        <v>1</v>
      </c>
      <c r="BF41" s="508">
        <v>10</v>
      </c>
      <c r="BG41" s="801"/>
    </row>
    <row r="42" spans="1:59" ht="15.75" thickBot="1" x14ac:dyDescent="0.3">
      <c r="A42" s="130" t="s">
        <v>322</v>
      </c>
      <c r="B42" s="201"/>
      <c r="C42" s="367"/>
      <c r="D42" s="368"/>
      <c r="E42" s="368"/>
      <c r="F42" s="375"/>
      <c r="G42" s="376"/>
      <c r="H42" s="377">
        <v>5</v>
      </c>
      <c r="I42" s="376">
        <v>181</v>
      </c>
      <c r="J42" s="378">
        <v>402</v>
      </c>
      <c r="K42" s="379">
        <f t="shared" si="8"/>
        <v>588</v>
      </c>
      <c r="L42" s="320">
        <f t="shared" si="9"/>
        <v>9.6516857621220583E-3</v>
      </c>
      <c r="M42" s="804"/>
      <c r="O42" s="400" t="s">
        <v>307</v>
      </c>
      <c r="P42" s="434">
        <v>0</v>
      </c>
      <c r="Q42" s="435"/>
      <c r="R42" s="435"/>
      <c r="S42" s="435"/>
      <c r="T42" s="435">
        <v>58</v>
      </c>
      <c r="U42" s="436">
        <v>108</v>
      </c>
      <c r="V42" s="433">
        <v>166</v>
      </c>
      <c r="W42" s="801"/>
      <c r="Y42" s="397" t="s">
        <v>289</v>
      </c>
      <c r="Z42" s="397"/>
      <c r="AA42" s="470"/>
      <c r="AB42" s="470"/>
      <c r="AC42" s="470"/>
      <c r="AD42" s="470"/>
      <c r="AE42" s="470"/>
      <c r="AF42" s="470"/>
      <c r="AG42" s="471">
        <v>1</v>
      </c>
      <c r="AH42" s="468">
        <v>1</v>
      </c>
      <c r="AI42" s="398">
        <v>2</v>
      </c>
      <c r="AJ42" s="801"/>
      <c r="AL42" s="397" t="s">
        <v>312</v>
      </c>
      <c r="AM42" s="79"/>
      <c r="AN42" s="406"/>
      <c r="AO42" s="406"/>
      <c r="AP42" s="406"/>
      <c r="AQ42" s="406"/>
      <c r="AR42" s="406"/>
      <c r="AS42" s="406"/>
      <c r="AT42" s="406">
        <v>1</v>
      </c>
      <c r="AU42" s="407">
        <v>1</v>
      </c>
      <c r="AV42" s="809"/>
      <c r="AX42" s="492" t="s">
        <v>269</v>
      </c>
      <c r="AY42" s="497"/>
      <c r="AZ42" s="406"/>
      <c r="BA42" s="406"/>
      <c r="BB42" s="406"/>
      <c r="BC42" s="435"/>
      <c r="BD42" s="435">
        <v>4</v>
      </c>
      <c r="BE42" s="507">
        <v>5</v>
      </c>
      <c r="BF42" s="508">
        <v>9</v>
      </c>
      <c r="BG42" s="801"/>
    </row>
    <row r="43" spans="1:59" ht="16.5" thickTop="1" thickBot="1" x14ac:dyDescent="0.3">
      <c r="A43" s="130" t="s">
        <v>324</v>
      </c>
      <c r="B43" s="201"/>
      <c r="C43" s="367"/>
      <c r="D43" s="368"/>
      <c r="E43" s="368"/>
      <c r="F43" s="375"/>
      <c r="G43" s="376"/>
      <c r="H43" s="377">
        <v>23</v>
      </c>
      <c r="I43" s="376">
        <v>232</v>
      </c>
      <c r="J43" s="378">
        <v>321</v>
      </c>
      <c r="K43" s="379">
        <f t="shared" si="8"/>
        <v>576</v>
      </c>
      <c r="L43" s="320">
        <f t="shared" si="9"/>
        <v>9.4547125833032396E-3</v>
      </c>
      <c r="M43" s="804"/>
      <c r="O43" s="400" t="s">
        <v>326</v>
      </c>
      <c r="P43" s="434"/>
      <c r="Q43" s="435"/>
      <c r="R43" s="435"/>
      <c r="S43" s="435"/>
      <c r="T43" s="435">
        <v>60</v>
      </c>
      <c r="U43" s="436">
        <v>94</v>
      </c>
      <c r="V43" s="433">
        <v>154</v>
      </c>
      <c r="W43" s="801"/>
      <c r="Y43" s="397" t="s">
        <v>301</v>
      </c>
      <c r="Z43" s="397"/>
      <c r="AA43" s="470"/>
      <c r="AB43" s="470"/>
      <c r="AC43" s="470"/>
      <c r="AD43" s="470"/>
      <c r="AE43" s="470"/>
      <c r="AF43" s="470"/>
      <c r="AG43" s="471">
        <v>2</v>
      </c>
      <c r="AH43" s="468"/>
      <c r="AI43" s="398">
        <v>2</v>
      </c>
      <c r="AJ43" s="802"/>
      <c r="AL43" s="401" t="s">
        <v>280</v>
      </c>
      <c r="AM43" s="413"/>
      <c r="AN43" s="403"/>
      <c r="AO43" s="403"/>
      <c r="AP43" s="403"/>
      <c r="AQ43" s="403"/>
      <c r="AR43" s="403">
        <v>1</v>
      </c>
      <c r="AS43" s="403">
        <v>16</v>
      </c>
      <c r="AT43" s="403">
        <v>13</v>
      </c>
      <c r="AU43" s="404">
        <v>30</v>
      </c>
      <c r="AX43" s="492" t="s">
        <v>351</v>
      </c>
      <c r="AY43" s="497"/>
      <c r="AZ43" s="406"/>
      <c r="BA43" s="406"/>
      <c r="BB43" s="406"/>
      <c r="BC43" s="435"/>
      <c r="BD43" s="435"/>
      <c r="BE43" s="507">
        <v>5</v>
      </c>
      <c r="BF43" s="508">
        <v>5</v>
      </c>
      <c r="BG43" s="801"/>
    </row>
    <row r="44" spans="1:59" ht="16.5" thickTop="1" thickBot="1" x14ac:dyDescent="0.3">
      <c r="A44" s="130" t="s">
        <v>301</v>
      </c>
      <c r="B44" s="201"/>
      <c r="C44" s="367"/>
      <c r="D44" s="368"/>
      <c r="E44" s="368"/>
      <c r="F44" s="375"/>
      <c r="G44" s="376"/>
      <c r="H44" s="377"/>
      <c r="I44" s="376">
        <v>228</v>
      </c>
      <c r="J44" s="378">
        <v>293</v>
      </c>
      <c r="K44" s="379">
        <f t="shared" si="8"/>
        <v>521</v>
      </c>
      <c r="L44" s="320">
        <f t="shared" si="9"/>
        <v>8.5519188470503261E-3</v>
      </c>
      <c r="M44" s="804"/>
      <c r="O44" s="400" t="s">
        <v>318</v>
      </c>
      <c r="P44" s="434"/>
      <c r="Q44" s="435"/>
      <c r="R44" s="435"/>
      <c r="S44" s="435"/>
      <c r="T44" s="435"/>
      <c r="U44" s="436">
        <v>150</v>
      </c>
      <c r="V44" s="433">
        <v>150</v>
      </c>
      <c r="W44" s="801"/>
      <c r="Y44" s="401" t="s">
        <v>386</v>
      </c>
      <c r="Z44" s="401"/>
      <c r="AA44" s="403"/>
      <c r="AB44" s="403"/>
      <c r="AC44" s="403">
        <v>1</v>
      </c>
      <c r="AD44" s="403"/>
      <c r="AE44" s="403"/>
      <c r="AF44" s="403">
        <v>236</v>
      </c>
      <c r="AG44" s="477">
        <v>1329</v>
      </c>
      <c r="AH44" s="478">
        <v>2379</v>
      </c>
      <c r="AI44" s="402">
        <v>3945</v>
      </c>
      <c r="AL44" s="397" t="s">
        <v>319</v>
      </c>
      <c r="AM44" s="79"/>
      <c r="AN44" s="406"/>
      <c r="AO44" s="406"/>
      <c r="AP44" s="406"/>
      <c r="AQ44" s="406"/>
      <c r="AR44" s="406">
        <v>1</v>
      </c>
      <c r="AS44" s="406">
        <v>14</v>
      </c>
      <c r="AT44" s="406">
        <v>9</v>
      </c>
      <c r="AU44" s="407">
        <v>24</v>
      </c>
      <c r="AV44" s="808">
        <f>AU43/AU22</f>
        <v>2.1052631578947368E-2</v>
      </c>
      <c r="AX44" s="492" t="s">
        <v>273</v>
      </c>
      <c r="AY44" s="497"/>
      <c r="AZ44" s="406"/>
      <c r="BA44" s="406"/>
      <c r="BB44" s="406"/>
      <c r="BC44" s="435">
        <v>2</v>
      </c>
      <c r="BD44" s="435"/>
      <c r="BE44" s="507">
        <v>3</v>
      </c>
      <c r="BF44" s="508">
        <v>5</v>
      </c>
      <c r="BG44" s="801"/>
    </row>
    <row r="45" spans="1:59" ht="16.5" thickTop="1" thickBot="1" x14ac:dyDescent="0.3">
      <c r="A45" s="130" t="s">
        <v>313</v>
      </c>
      <c r="B45" s="201"/>
      <c r="C45" s="367"/>
      <c r="D45" s="368"/>
      <c r="E45" s="368"/>
      <c r="F45" s="375"/>
      <c r="G45" s="376"/>
      <c r="H45" s="377">
        <v>23</v>
      </c>
      <c r="I45" s="376">
        <v>216</v>
      </c>
      <c r="J45" s="378">
        <v>238</v>
      </c>
      <c r="K45" s="379">
        <f t="shared" si="8"/>
        <v>477</v>
      </c>
      <c r="L45" s="320">
        <f t="shared" si="9"/>
        <v>7.829683858047996E-3</v>
      </c>
      <c r="M45" s="804"/>
      <c r="O45" s="400" t="s">
        <v>322</v>
      </c>
      <c r="P45" s="434"/>
      <c r="Q45" s="435"/>
      <c r="R45" s="435"/>
      <c r="S45" s="435">
        <v>3</v>
      </c>
      <c r="T45" s="435">
        <v>65</v>
      </c>
      <c r="U45" s="436">
        <v>80</v>
      </c>
      <c r="V45" s="433">
        <v>148</v>
      </c>
      <c r="W45" s="801"/>
      <c r="AL45" s="397" t="s">
        <v>321</v>
      </c>
      <c r="AM45" s="79"/>
      <c r="AN45" s="406"/>
      <c r="AO45" s="406"/>
      <c r="AP45" s="406"/>
      <c r="AQ45" s="406"/>
      <c r="AR45" s="406"/>
      <c r="AS45" s="406">
        <v>2</v>
      </c>
      <c r="AT45" s="406">
        <v>4</v>
      </c>
      <c r="AU45" s="407">
        <v>6</v>
      </c>
      <c r="AV45" s="809"/>
      <c r="AX45" s="492" t="s">
        <v>277</v>
      </c>
      <c r="AY45" s="497"/>
      <c r="AZ45" s="406"/>
      <c r="BA45" s="406"/>
      <c r="BB45" s="406"/>
      <c r="BC45" s="435"/>
      <c r="BD45" s="435"/>
      <c r="BE45" s="507">
        <v>2</v>
      </c>
      <c r="BF45" s="508">
        <v>2</v>
      </c>
      <c r="BG45" s="801"/>
    </row>
    <row r="46" spans="1:59" ht="16.5" thickTop="1" thickBot="1" x14ac:dyDescent="0.3">
      <c r="A46" s="130" t="s">
        <v>298</v>
      </c>
      <c r="B46" s="201"/>
      <c r="C46" s="367"/>
      <c r="D46" s="368"/>
      <c r="E46" s="368"/>
      <c r="F46" s="375"/>
      <c r="G46" s="376"/>
      <c r="H46" s="377"/>
      <c r="I46" s="376">
        <v>167</v>
      </c>
      <c r="J46" s="378">
        <v>309</v>
      </c>
      <c r="K46" s="379">
        <f t="shared" si="8"/>
        <v>476</v>
      </c>
      <c r="L46" s="320">
        <f t="shared" si="9"/>
        <v>7.8132694264797607E-3</v>
      </c>
      <c r="M46" s="804"/>
      <c r="O46" s="400" t="s">
        <v>284</v>
      </c>
      <c r="P46" s="434">
        <v>0</v>
      </c>
      <c r="Q46" s="435"/>
      <c r="R46" s="435"/>
      <c r="S46" s="435"/>
      <c r="T46" s="435">
        <v>17</v>
      </c>
      <c r="U46" s="436">
        <v>97</v>
      </c>
      <c r="V46" s="433">
        <v>114</v>
      </c>
      <c r="W46" s="801"/>
      <c r="AL46" s="401" t="s">
        <v>386</v>
      </c>
      <c r="AM46" s="413"/>
      <c r="AN46" s="403"/>
      <c r="AO46" s="403"/>
      <c r="AP46" s="403"/>
      <c r="AQ46" s="403"/>
      <c r="AR46" s="403">
        <v>87</v>
      </c>
      <c r="AS46" s="403">
        <v>333</v>
      </c>
      <c r="AT46" s="403">
        <v>1005</v>
      </c>
      <c r="AU46" s="404">
        <v>1425</v>
      </c>
      <c r="AX46" s="492" t="s">
        <v>336</v>
      </c>
      <c r="AY46" s="497"/>
      <c r="AZ46" s="406"/>
      <c r="BA46" s="406"/>
      <c r="BB46" s="406"/>
      <c r="BC46" s="435"/>
      <c r="BD46" s="435"/>
      <c r="BE46" s="507">
        <v>2</v>
      </c>
      <c r="BF46" s="508">
        <v>2</v>
      </c>
      <c r="BG46" s="801"/>
    </row>
    <row r="47" spans="1:59" ht="15.75" thickTop="1" x14ac:dyDescent="0.25">
      <c r="A47" s="130" t="s">
        <v>286</v>
      </c>
      <c r="B47" s="201"/>
      <c r="C47" s="367"/>
      <c r="D47" s="368"/>
      <c r="E47" s="368"/>
      <c r="F47" s="375"/>
      <c r="G47" s="376"/>
      <c r="H47" s="377">
        <v>5</v>
      </c>
      <c r="I47" s="376">
        <v>55</v>
      </c>
      <c r="J47" s="378">
        <v>319</v>
      </c>
      <c r="K47" s="379">
        <f t="shared" si="8"/>
        <v>379</v>
      </c>
      <c r="L47" s="320">
        <f t="shared" si="9"/>
        <v>6.221069564360986E-3</v>
      </c>
      <c r="M47" s="804"/>
      <c r="O47" s="400" t="s">
        <v>310</v>
      </c>
      <c r="P47" s="434">
        <v>0</v>
      </c>
      <c r="Q47" s="435"/>
      <c r="R47" s="435"/>
      <c r="S47" s="435"/>
      <c r="T47" s="435">
        <v>104</v>
      </c>
      <c r="U47" s="436">
        <v>8</v>
      </c>
      <c r="V47" s="433">
        <v>112</v>
      </c>
      <c r="W47" s="801"/>
      <c r="AX47" s="492" t="s">
        <v>267</v>
      </c>
      <c r="AY47" s="497"/>
      <c r="AZ47" s="406"/>
      <c r="BA47" s="406"/>
      <c r="BB47" s="406"/>
      <c r="BC47" s="435"/>
      <c r="BD47" s="435">
        <v>1</v>
      </c>
      <c r="BE47" s="507">
        <v>1</v>
      </c>
      <c r="BF47" s="508">
        <v>2</v>
      </c>
      <c r="BG47" s="801"/>
    </row>
    <row r="48" spans="1:59" ht="15" x14ac:dyDescent="0.25">
      <c r="A48" s="130" t="s">
        <v>326</v>
      </c>
      <c r="B48" s="201"/>
      <c r="C48" s="367"/>
      <c r="D48" s="368"/>
      <c r="E48" s="368"/>
      <c r="F48" s="375"/>
      <c r="G48" s="376"/>
      <c r="H48" s="377">
        <v>1</v>
      </c>
      <c r="I48" s="376">
        <v>134</v>
      </c>
      <c r="J48" s="378">
        <v>186</v>
      </c>
      <c r="K48" s="379">
        <f t="shared" si="8"/>
        <v>321</v>
      </c>
      <c r="L48" s="320">
        <f t="shared" si="9"/>
        <v>5.2690325334033682E-3</v>
      </c>
      <c r="M48" s="804"/>
      <c r="O48" s="400" t="s">
        <v>320</v>
      </c>
      <c r="P48" s="434"/>
      <c r="Q48" s="435"/>
      <c r="R48" s="435"/>
      <c r="S48" s="435"/>
      <c r="T48" s="435"/>
      <c r="U48" s="436">
        <v>111</v>
      </c>
      <c r="V48" s="433">
        <v>111</v>
      </c>
      <c r="W48" s="801"/>
      <c r="AX48" s="492" t="s">
        <v>283</v>
      </c>
      <c r="AY48" s="497"/>
      <c r="AZ48" s="406"/>
      <c r="BA48" s="406"/>
      <c r="BB48" s="406"/>
      <c r="BC48" s="435"/>
      <c r="BD48" s="435"/>
      <c r="BE48" s="507">
        <v>2</v>
      </c>
      <c r="BF48" s="508">
        <v>2</v>
      </c>
      <c r="BG48" s="801"/>
    </row>
    <row r="49" spans="1:59" ht="15" x14ac:dyDescent="0.25">
      <c r="A49" s="130" t="s">
        <v>333</v>
      </c>
      <c r="B49" s="201"/>
      <c r="C49" s="367"/>
      <c r="D49" s="368"/>
      <c r="E49" s="368"/>
      <c r="F49" s="375"/>
      <c r="G49" s="376"/>
      <c r="H49" s="377"/>
      <c r="I49" s="376">
        <v>35</v>
      </c>
      <c r="J49" s="378">
        <v>216</v>
      </c>
      <c r="K49" s="379">
        <f t="shared" si="8"/>
        <v>251</v>
      </c>
      <c r="L49" s="320">
        <f t="shared" si="9"/>
        <v>4.1200223236269326E-3</v>
      </c>
      <c r="M49" s="804"/>
      <c r="O49" s="400" t="s">
        <v>333</v>
      </c>
      <c r="P49" s="434"/>
      <c r="Q49" s="435"/>
      <c r="R49" s="435"/>
      <c r="S49" s="435"/>
      <c r="T49" s="435">
        <v>21</v>
      </c>
      <c r="U49" s="436">
        <v>79</v>
      </c>
      <c r="V49" s="433">
        <v>100</v>
      </c>
      <c r="W49" s="801"/>
      <c r="AX49" s="492" t="s">
        <v>337</v>
      </c>
      <c r="AY49" s="497"/>
      <c r="AZ49" s="406"/>
      <c r="BA49" s="406"/>
      <c r="BB49" s="406"/>
      <c r="BC49" s="435"/>
      <c r="BD49" s="435"/>
      <c r="BE49" s="507">
        <v>1</v>
      </c>
      <c r="BF49" s="508">
        <v>1</v>
      </c>
      <c r="BG49" s="801"/>
    </row>
    <row r="50" spans="1:59" ht="15" x14ac:dyDescent="0.25">
      <c r="A50" s="130" t="s">
        <v>306</v>
      </c>
      <c r="B50" s="201"/>
      <c r="C50" s="367"/>
      <c r="D50" s="368"/>
      <c r="E50" s="368"/>
      <c r="F50" s="375"/>
      <c r="G50" s="376"/>
      <c r="H50" s="377"/>
      <c r="I50" s="376">
        <v>8</v>
      </c>
      <c r="J50" s="378">
        <v>187</v>
      </c>
      <c r="K50" s="379">
        <f t="shared" si="8"/>
        <v>195</v>
      </c>
      <c r="L50" s="320">
        <f t="shared" si="9"/>
        <v>3.2008141558057842E-3</v>
      </c>
      <c r="M50" s="804"/>
      <c r="O50" s="400" t="s">
        <v>304</v>
      </c>
      <c r="P50" s="434">
        <v>0</v>
      </c>
      <c r="Q50" s="435"/>
      <c r="R50" s="435"/>
      <c r="S50" s="435"/>
      <c r="T50" s="435">
        <v>7</v>
      </c>
      <c r="U50" s="436">
        <v>58</v>
      </c>
      <c r="V50" s="433">
        <v>65</v>
      </c>
      <c r="W50" s="801"/>
      <c r="AX50" s="492" t="s">
        <v>266</v>
      </c>
      <c r="AY50" s="497"/>
      <c r="AZ50" s="406"/>
      <c r="BA50" s="406"/>
      <c r="BB50" s="406"/>
      <c r="BC50" s="435"/>
      <c r="BD50" s="435"/>
      <c r="BE50" s="507">
        <v>1</v>
      </c>
      <c r="BF50" s="508">
        <v>1</v>
      </c>
      <c r="BG50" s="801"/>
    </row>
    <row r="51" spans="1:59" ht="15.75" thickBot="1" x14ac:dyDescent="0.3">
      <c r="A51" s="130" t="s">
        <v>307</v>
      </c>
      <c r="B51" s="201"/>
      <c r="C51" s="367"/>
      <c r="D51" s="368"/>
      <c r="E51" s="368"/>
      <c r="F51" s="375"/>
      <c r="G51" s="376"/>
      <c r="H51" s="377"/>
      <c r="I51" s="376">
        <v>58</v>
      </c>
      <c r="J51" s="378">
        <v>110</v>
      </c>
      <c r="K51" s="379">
        <f t="shared" si="8"/>
        <v>168</v>
      </c>
      <c r="L51" s="320">
        <f t="shared" si="9"/>
        <v>2.7576245034634452E-3</v>
      </c>
      <c r="M51" s="804"/>
      <c r="O51" s="400" t="s">
        <v>325</v>
      </c>
      <c r="P51" s="434"/>
      <c r="Q51" s="435"/>
      <c r="R51" s="435"/>
      <c r="S51" s="435">
        <v>1</v>
      </c>
      <c r="T51" s="435">
        <v>41</v>
      </c>
      <c r="U51" s="436">
        <v>19</v>
      </c>
      <c r="V51" s="433">
        <v>61</v>
      </c>
      <c r="W51" s="801"/>
      <c r="AX51" s="493" t="s">
        <v>271</v>
      </c>
      <c r="AY51" s="498"/>
      <c r="AZ51" s="409"/>
      <c r="BA51" s="409"/>
      <c r="BB51" s="409"/>
      <c r="BC51" s="438"/>
      <c r="BD51" s="438"/>
      <c r="BE51" s="509">
        <v>1</v>
      </c>
      <c r="BF51" s="510">
        <v>1</v>
      </c>
      <c r="BG51" s="802"/>
    </row>
    <row r="52" spans="1:59" ht="16.5" thickTop="1" thickBot="1" x14ac:dyDescent="0.3">
      <c r="A52" s="130" t="s">
        <v>294</v>
      </c>
      <c r="B52" s="201"/>
      <c r="C52" s="367"/>
      <c r="D52" s="368"/>
      <c r="E52" s="368"/>
      <c r="F52" s="375">
        <v>1</v>
      </c>
      <c r="G52" s="376"/>
      <c r="H52" s="377">
        <v>17</v>
      </c>
      <c r="I52" s="376">
        <v>87</v>
      </c>
      <c r="J52" s="378">
        <v>59</v>
      </c>
      <c r="K52" s="379">
        <f t="shared" si="8"/>
        <v>164</v>
      </c>
      <c r="L52" s="320">
        <f t="shared" si="9"/>
        <v>2.691966777190506E-3</v>
      </c>
      <c r="M52" s="804"/>
      <c r="O52" s="400" t="s">
        <v>299</v>
      </c>
      <c r="P52" s="434">
        <v>0</v>
      </c>
      <c r="Q52" s="435"/>
      <c r="R52" s="435"/>
      <c r="S52" s="435"/>
      <c r="T52" s="435">
        <v>6</v>
      </c>
      <c r="U52" s="436">
        <v>46</v>
      </c>
      <c r="V52" s="433">
        <v>52</v>
      </c>
      <c r="W52" s="801"/>
      <c r="AX52" s="490" t="s">
        <v>385</v>
      </c>
      <c r="AY52" s="495"/>
      <c r="AZ52" s="411"/>
      <c r="BA52" s="411"/>
      <c r="BB52" s="411"/>
      <c r="BC52" s="511">
        <v>84</v>
      </c>
      <c r="BD52" s="511">
        <v>648</v>
      </c>
      <c r="BE52" s="512">
        <v>639</v>
      </c>
      <c r="BF52" s="513">
        <v>1371</v>
      </c>
      <c r="BG52" s="537"/>
    </row>
    <row r="53" spans="1:59" ht="16.5" thickTop="1" thickBot="1" x14ac:dyDescent="0.3">
      <c r="A53" s="130" t="s">
        <v>304</v>
      </c>
      <c r="B53" s="201"/>
      <c r="C53" s="367"/>
      <c r="D53" s="368"/>
      <c r="E53" s="368"/>
      <c r="F53" s="375"/>
      <c r="G53" s="376"/>
      <c r="H53" s="377">
        <v>1</v>
      </c>
      <c r="I53" s="376">
        <v>8</v>
      </c>
      <c r="J53" s="378">
        <v>152</v>
      </c>
      <c r="K53" s="379">
        <f t="shared" si="8"/>
        <v>161</v>
      </c>
      <c r="L53" s="320">
        <f t="shared" si="9"/>
        <v>2.6427234824858013E-3</v>
      </c>
      <c r="M53" s="804"/>
      <c r="O53" s="400" t="s">
        <v>294</v>
      </c>
      <c r="P53" s="434">
        <v>0</v>
      </c>
      <c r="Q53" s="435"/>
      <c r="R53" s="435"/>
      <c r="S53" s="435">
        <v>11</v>
      </c>
      <c r="T53" s="435">
        <v>13</v>
      </c>
      <c r="U53" s="436">
        <v>13</v>
      </c>
      <c r="V53" s="433">
        <v>37</v>
      </c>
      <c r="W53" s="801"/>
      <c r="AX53" s="400" t="s">
        <v>270</v>
      </c>
      <c r="AY53" s="499"/>
      <c r="AZ53" s="470"/>
      <c r="BA53" s="470"/>
      <c r="BB53" s="470"/>
      <c r="BC53" s="514">
        <v>84</v>
      </c>
      <c r="BD53" s="514">
        <v>648</v>
      </c>
      <c r="BE53" s="515">
        <v>639</v>
      </c>
      <c r="BF53" s="516">
        <v>1371</v>
      </c>
      <c r="BG53" s="536">
        <f>BF52/BF22</f>
        <v>0.24158590308370045</v>
      </c>
    </row>
    <row r="54" spans="1:59" ht="16.5" thickTop="1" thickBot="1" x14ac:dyDescent="0.3">
      <c r="A54" s="130" t="s">
        <v>288</v>
      </c>
      <c r="B54" s="201"/>
      <c r="C54" s="367"/>
      <c r="D54" s="368"/>
      <c r="E54" s="368"/>
      <c r="F54" s="375"/>
      <c r="G54" s="376"/>
      <c r="H54" s="377">
        <v>3</v>
      </c>
      <c r="I54" s="376">
        <v>120</v>
      </c>
      <c r="J54" s="378">
        <v>31</v>
      </c>
      <c r="K54" s="379">
        <f t="shared" si="8"/>
        <v>154</v>
      </c>
      <c r="L54" s="320">
        <f t="shared" si="9"/>
        <v>2.527822461508158E-3</v>
      </c>
      <c r="M54" s="804"/>
      <c r="O54" s="400" t="s">
        <v>302</v>
      </c>
      <c r="P54" s="434">
        <v>0</v>
      </c>
      <c r="Q54" s="435"/>
      <c r="R54" s="435"/>
      <c r="S54" s="435"/>
      <c r="T54" s="435"/>
      <c r="U54" s="436">
        <v>32</v>
      </c>
      <c r="V54" s="433">
        <v>32</v>
      </c>
      <c r="W54" s="801"/>
      <c r="AX54" s="490" t="s">
        <v>331</v>
      </c>
      <c r="AY54" s="495"/>
      <c r="AZ54" s="411"/>
      <c r="BA54" s="411"/>
      <c r="BB54" s="411"/>
      <c r="BC54" s="511"/>
      <c r="BD54" s="511"/>
      <c r="BE54" s="512">
        <v>818</v>
      </c>
      <c r="BF54" s="513">
        <v>818</v>
      </c>
      <c r="BG54" s="537"/>
    </row>
    <row r="55" spans="1:59" ht="16.5" thickTop="1" thickBot="1" x14ac:dyDescent="0.3">
      <c r="A55" s="130" t="s">
        <v>284</v>
      </c>
      <c r="B55" s="201"/>
      <c r="C55" s="367"/>
      <c r="D55" s="368"/>
      <c r="E55" s="368"/>
      <c r="F55" s="375"/>
      <c r="G55" s="376"/>
      <c r="H55" s="377"/>
      <c r="I55" s="376">
        <v>20</v>
      </c>
      <c r="J55" s="378">
        <v>106</v>
      </c>
      <c r="K55" s="379">
        <f t="shared" si="8"/>
        <v>126</v>
      </c>
      <c r="L55" s="320">
        <f t="shared" si="9"/>
        <v>2.068218377597584E-3</v>
      </c>
      <c r="M55" s="804"/>
      <c r="O55" s="400" t="s">
        <v>314</v>
      </c>
      <c r="P55" s="434">
        <v>0</v>
      </c>
      <c r="Q55" s="435"/>
      <c r="R55" s="435"/>
      <c r="S55" s="435"/>
      <c r="T55" s="435">
        <v>1</v>
      </c>
      <c r="U55" s="436">
        <v>30</v>
      </c>
      <c r="V55" s="433">
        <v>31</v>
      </c>
      <c r="W55" s="801"/>
      <c r="AX55" s="400" t="s">
        <v>196</v>
      </c>
      <c r="AY55" s="499"/>
      <c r="AZ55" s="470"/>
      <c r="BA55" s="470"/>
      <c r="BB55" s="470"/>
      <c r="BC55" s="514"/>
      <c r="BD55" s="514"/>
      <c r="BE55" s="515">
        <v>818</v>
      </c>
      <c r="BF55" s="516">
        <v>818</v>
      </c>
      <c r="BG55" s="536">
        <f>BF54/BF22</f>
        <v>0.1441409691629956</v>
      </c>
    </row>
    <row r="56" spans="1:59" ht="16.5" thickTop="1" thickBot="1" x14ac:dyDescent="0.3">
      <c r="A56" s="130" t="s">
        <v>299</v>
      </c>
      <c r="B56" s="201"/>
      <c r="C56" s="367"/>
      <c r="D56" s="368"/>
      <c r="E56" s="368"/>
      <c r="F56" s="375"/>
      <c r="G56" s="376"/>
      <c r="H56" s="377"/>
      <c r="I56" s="376">
        <v>14</v>
      </c>
      <c r="J56" s="378">
        <v>99</v>
      </c>
      <c r="K56" s="379">
        <f t="shared" si="8"/>
        <v>113</v>
      </c>
      <c r="L56" s="320">
        <f t="shared" si="9"/>
        <v>1.8548307672105315E-3</v>
      </c>
      <c r="M56" s="804"/>
      <c r="O56" s="400" t="s">
        <v>327</v>
      </c>
      <c r="P56" s="434"/>
      <c r="Q56" s="435"/>
      <c r="R56" s="435"/>
      <c r="S56" s="435"/>
      <c r="T56" s="435">
        <v>2</v>
      </c>
      <c r="U56" s="436">
        <v>28</v>
      </c>
      <c r="V56" s="433">
        <v>30</v>
      </c>
      <c r="W56" s="801"/>
      <c r="AX56" s="490" t="s">
        <v>321</v>
      </c>
      <c r="AY56" s="495"/>
      <c r="AZ56" s="411"/>
      <c r="BA56" s="411"/>
      <c r="BB56" s="411"/>
      <c r="BC56" s="511">
        <v>72</v>
      </c>
      <c r="BD56" s="511">
        <v>353</v>
      </c>
      <c r="BE56" s="512">
        <v>191</v>
      </c>
      <c r="BF56" s="513">
        <v>616</v>
      </c>
      <c r="BG56" s="537"/>
    </row>
    <row r="57" spans="1:59" ht="15.75" thickTop="1" x14ac:dyDescent="0.25">
      <c r="A57" s="130" t="s">
        <v>320</v>
      </c>
      <c r="B57" s="201"/>
      <c r="C57" s="367"/>
      <c r="D57" s="368"/>
      <c r="E57" s="368"/>
      <c r="F57" s="375"/>
      <c r="G57" s="376"/>
      <c r="H57" s="377"/>
      <c r="I57" s="376"/>
      <c r="J57" s="378">
        <v>111</v>
      </c>
      <c r="K57" s="379">
        <f t="shared" si="8"/>
        <v>111</v>
      </c>
      <c r="L57" s="320">
        <f t="shared" si="9"/>
        <v>1.8220019040740619E-3</v>
      </c>
      <c r="M57" s="804"/>
      <c r="O57" s="400" t="s">
        <v>308</v>
      </c>
      <c r="P57" s="434">
        <v>0</v>
      </c>
      <c r="Q57" s="435"/>
      <c r="R57" s="435"/>
      <c r="S57" s="435"/>
      <c r="T57" s="435">
        <v>3</v>
      </c>
      <c r="U57" s="436">
        <v>25</v>
      </c>
      <c r="V57" s="433">
        <v>28</v>
      </c>
      <c r="W57" s="801"/>
      <c r="AX57" s="494" t="s">
        <v>198</v>
      </c>
      <c r="AY57" s="500"/>
      <c r="AZ57" s="415"/>
      <c r="BA57" s="415"/>
      <c r="BB57" s="415"/>
      <c r="BC57" s="445">
        <v>1</v>
      </c>
      <c r="BD57" s="445">
        <v>60</v>
      </c>
      <c r="BE57" s="517">
        <v>36</v>
      </c>
      <c r="BF57" s="518">
        <v>97</v>
      </c>
      <c r="BG57" s="800">
        <f>BF56/BF22</f>
        <v>0.10854625550660793</v>
      </c>
    </row>
    <row r="58" spans="1:59" ht="15" x14ac:dyDescent="0.25">
      <c r="A58" s="130" t="s">
        <v>311</v>
      </c>
      <c r="B58" s="201"/>
      <c r="C58" s="367"/>
      <c r="D58" s="368"/>
      <c r="E58" s="368"/>
      <c r="F58" s="375"/>
      <c r="G58" s="376"/>
      <c r="H58" s="377"/>
      <c r="I58" s="376">
        <v>16</v>
      </c>
      <c r="J58" s="378">
        <v>83</v>
      </c>
      <c r="K58" s="379">
        <f t="shared" si="8"/>
        <v>99</v>
      </c>
      <c r="L58" s="320">
        <f t="shared" si="9"/>
        <v>1.6250287252552445E-3</v>
      </c>
      <c r="M58" s="804"/>
      <c r="O58" s="400" t="s">
        <v>300</v>
      </c>
      <c r="P58" s="434">
        <v>0</v>
      </c>
      <c r="Q58" s="435"/>
      <c r="R58" s="435"/>
      <c r="S58" s="435"/>
      <c r="T58" s="435">
        <v>23</v>
      </c>
      <c r="U58" s="436">
        <v>4</v>
      </c>
      <c r="V58" s="433">
        <v>27</v>
      </c>
      <c r="W58" s="801"/>
      <c r="AX58" s="492" t="s">
        <v>201</v>
      </c>
      <c r="AY58" s="497"/>
      <c r="AZ58" s="406"/>
      <c r="BA58" s="406"/>
      <c r="BB58" s="406"/>
      <c r="BC58" s="435"/>
      <c r="BD58" s="435">
        <v>67</v>
      </c>
      <c r="BE58" s="507">
        <v>25</v>
      </c>
      <c r="BF58" s="508">
        <v>92</v>
      </c>
      <c r="BG58" s="801"/>
    </row>
    <row r="59" spans="1:59" ht="15" x14ac:dyDescent="0.25">
      <c r="A59" s="130" t="s">
        <v>300</v>
      </c>
      <c r="B59" s="201"/>
      <c r="C59" s="367"/>
      <c r="D59" s="368"/>
      <c r="E59" s="368"/>
      <c r="F59" s="375"/>
      <c r="G59" s="376"/>
      <c r="H59" s="377"/>
      <c r="I59" s="376">
        <v>71</v>
      </c>
      <c r="J59" s="378">
        <v>21</v>
      </c>
      <c r="K59" s="379">
        <f t="shared" si="8"/>
        <v>92</v>
      </c>
      <c r="L59" s="320">
        <f t="shared" si="9"/>
        <v>1.5101277042776009E-3</v>
      </c>
      <c r="M59" s="804"/>
      <c r="O59" s="400" t="s">
        <v>306</v>
      </c>
      <c r="P59" s="434">
        <v>0</v>
      </c>
      <c r="Q59" s="435"/>
      <c r="R59" s="435"/>
      <c r="S59" s="435"/>
      <c r="T59" s="435">
        <v>3</v>
      </c>
      <c r="U59" s="436">
        <v>12</v>
      </c>
      <c r="V59" s="433">
        <v>15</v>
      </c>
      <c r="W59" s="801"/>
      <c r="AX59" s="492" t="s">
        <v>267</v>
      </c>
      <c r="AY59" s="497"/>
      <c r="AZ59" s="406"/>
      <c r="BA59" s="406"/>
      <c r="BB59" s="406"/>
      <c r="BC59" s="435">
        <v>2</v>
      </c>
      <c r="BD59" s="435">
        <v>59</v>
      </c>
      <c r="BE59" s="507">
        <v>11</v>
      </c>
      <c r="BF59" s="508">
        <v>72</v>
      </c>
      <c r="BG59" s="801"/>
    </row>
    <row r="60" spans="1:59" ht="15" x14ac:dyDescent="0.25">
      <c r="A60" s="130" t="s">
        <v>314</v>
      </c>
      <c r="B60" s="201"/>
      <c r="C60" s="367"/>
      <c r="D60" s="368"/>
      <c r="E60" s="368"/>
      <c r="F60" s="375"/>
      <c r="G60" s="376"/>
      <c r="H60" s="377">
        <v>3</v>
      </c>
      <c r="I60" s="376">
        <v>2</v>
      </c>
      <c r="J60" s="378">
        <v>62</v>
      </c>
      <c r="K60" s="379">
        <f t="shared" si="8"/>
        <v>67</v>
      </c>
      <c r="L60" s="320">
        <f t="shared" si="9"/>
        <v>1.0997669150717311E-3</v>
      </c>
      <c r="M60" s="804"/>
      <c r="O60" s="400" t="s">
        <v>297</v>
      </c>
      <c r="P60" s="434">
        <v>0</v>
      </c>
      <c r="Q60" s="435"/>
      <c r="R60" s="435"/>
      <c r="S60" s="435"/>
      <c r="T60" s="435"/>
      <c r="U60" s="436">
        <v>12</v>
      </c>
      <c r="V60" s="433">
        <v>12</v>
      </c>
      <c r="W60" s="801"/>
      <c r="AX60" s="492" t="s">
        <v>196</v>
      </c>
      <c r="AY60" s="497"/>
      <c r="AZ60" s="406"/>
      <c r="BA60" s="406"/>
      <c r="BB60" s="406"/>
      <c r="BC60" s="435">
        <v>26</v>
      </c>
      <c r="BD60" s="435">
        <v>13</v>
      </c>
      <c r="BE60" s="507">
        <v>26</v>
      </c>
      <c r="BF60" s="508">
        <v>65</v>
      </c>
      <c r="BG60" s="801"/>
    </row>
    <row r="61" spans="1:59" ht="15" x14ac:dyDescent="0.25">
      <c r="A61" s="130" t="s">
        <v>302</v>
      </c>
      <c r="B61" s="201"/>
      <c r="C61" s="367"/>
      <c r="D61" s="368"/>
      <c r="E61" s="368"/>
      <c r="F61" s="375"/>
      <c r="G61" s="376"/>
      <c r="H61" s="377"/>
      <c r="I61" s="376">
        <v>7</v>
      </c>
      <c r="J61" s="378">
        <v>56</v>
      </c>
      <c r="K61" s="379">
        <f t="shared" si="8"/>
        <v>63</v>
      </c>
      <c r="L61" s="320">
        <f t="shared" si="9"/>
        <v>1.034109188798792E-3</v>
      </c>
      <c r="M61" s="804"/>
      <c r="O61" s="400" t="s">
        <v>288</v>
      </c>
      <c r="P61" s="434">
        <v>0</v>
      </c>
      <c r="Q61" s="435"/>
      <c r="R61" s="435"/>
      <c r="S61" s="435"/>
      <c r="T61" s="435">
        <v>8</v>
      </c>
      <c r="U61" s="436">
        <v>1</v>
      </c>
      <c r="V61" s="433">
        <v>9</v>
      </c>
      <c r="W61" s="801"/>
      <c r="AX61" s="492" t="s">
        <v>266</v>
      </c>
      <c r="AY61" s="497"/>
      <c r="AZ61" s="406"/>
      <c r="BA61" s="406"/>
      <c r="BB61" s="406"/>
      <c r="BC61" s="435">
        <v>2</v>
      </c>
      <c r="BD61" s="435">
        <v>34</v>
      </c>
      <c r="BE61" s="507">
        <v>14</v>
      </c>
      <c r="BF61" s="508">
        <v>50</v>
      </c>
      <c r="BG61" s="801"/>
    </row>
    <row r="62" spans="1:59" ht="15" x14ac:dyDescent="0.25">
      <c r="A62" s="130" t="s">
        <v>325</v>
      </c>
      <c r="B62" s="201"/>
      <c r="C62" s="367"/>
      <c r="D62" s="368"/>
      <c r="E62" s="368"/>
      <c r="F62" s="375"/>
      <c r="G62" s="376"/>
      <c r="H62" s="377">
        <v>1</v>
      </c>
      <c r="I62" s="376">
        <v>41</v>
      </c>
      <c r="J62" s="378">
        <v>19</v>
      </c>
      <c r="K62" s="379">
        <f t="shared" si="8"/>
        <v>61</v>
      </c>
      <c r="L62" s="320">
        <f t="shared" si="9"/>
        <v>1.0012803256623224E-3</v>
      </c>
      <c r="M62" s="804"/>
      <c r="O62" s="400" t="s">
        <v>311</v>
      </c>
      <c r="P62" s="434">
        <v>0</v>
      </c>
      <c r="Q62" s="435"/>
      <c r="R62" s="435"/>
      <c r="S62" s="435"/>
      <c r="T62" s="435">
        <v>4</v>
      </c>
      <c r="U62" s="436">
        <v>1</v>
      </c>
      <c r="V62" s="433">
        <v>5</v>
      </c>
      <c r="W62" s="801"/>
      <c r="AX62" s="492" t="s">
        <v>269</v>
      </c>
      <c r="AY62" s="497"/>
      <c r="AZ62" s="406"/>
      <c r="BA62" s="406"/>
      <c r="BB62" s="406"/>
      <c r="BC62" s="435">
        <v>8</v>
      </c>
      <c r="BD62" s="435">
        <v>26</v>
      </c>
      <c r="BE62" s="507">
        <v>16</v>
      </c>
      <c r="BF62" s="508">
        <v>50</v>
      </c>
      <c r="BG62" s="801"/>
    </row>
    <row r="63" spans="1:59" ht="15.75" thickBot="1" x14ac:dyDescent="0.3">
      <c r="A63" s="130" t="s">
        <v>297</v>
      </c>
      <c r="B63" s="201"/>
      <c r="C63" s="367"/>
      <c r="D63" s="368"/>
      <c r="E63" s="368"/>
      <c r="F63" s="375"/>
      <c r="G63" s="376"/>
      <c r="H63" s="377"/>
      <c r="I63" s="376"/>
      <c r="J63" s="378">
        <v>55</v>
      </c>
      <c r="K63" s="379">
        <f t="shared" si="8"/>
        <v>55</v>
      </c>
      <c r="L63" s="320">
        <f t="shared" si="9"/>
        <v>9.027937362529136E-4</v>
      </c>
      <c r="M63" s="804"/>
      <c r="O63" s="400" t="s">
        <v>293</v>
      </c>
      <c r="P63" s="437">
        <v>0</v>
      </c>
      <c r="Q63" s="438"/>
      <c r="R63" s="438"/>
      <c r="S63" s="438"/>
      <c r="T63" s="438"/>
      <c r="U63" s="439">
        <v>2</v>
      </c>
      <c r="V63" s="433">
        <v>2</v>
      </c>
      <c r="W63" s="802"/>
      <c r="AX63" s="492" t="s">
        <v>202</v>
      </c>
      <c r="AY63" s="497"/>
      <c r="AZ63" s="406"/>
      <c r="BA63" s="406"/>
      <c r="BB63" s="406"/>
      <c r="BC63" s="435">
        <v>11</v>
      </c>
      <c r="BD63" s="435">
        <v>17</v>
      </c>
      <c r="BE63" s="507">
        <v>7</v>
      </c>
      <c r="BF63" s="508">
        <v>35</v>
      </c>
      <c r="BG63" s="801"/>
    </row>
    <row r="64" spans="1:59" ht="16.5" thickTop="1" thickBot="1" x14ac:dyDescent="0.3">
      <c r="A64" s="130" t="s">
        <v>327</v>
      </c>
      <c r="B64" s="201"/>
      <c r="C64" s="367"/>
      <c r="D64" s="368"/>
      <c r="E64" s="368"/>
      <c r="F64" s="375"/>
      <c r="G64" s="376"/>
      <c r="H64" s="377"/>
      <c r="I64" s="376">
        <v>2</v>
      </c>
      <c r="J64" s="378">
        <v>47</v>
      </c>
      <c r="K64" s="379">
        <f t="shared" si="8"/>
        <v>49</v>
      </c>
      <c r="L64" s="320">
        <f t="shared" si="9"/>
        <v>8.0430714684350479E-4</v>
      </c>
      <c r="M64" s="804"/>
      <c r="O64" s="412" t="s">
        <v>212</v>
      </c>
      <c r="P64" s="440"/>
      <c r="Q64" s="441"/>
      <c r="R64" s="441"/>
      <c r="S64" s="441">
        <v>714</v>
      </c>
      <c r="T64" s="441">
        <v>7269</v>
      </c>
      <c r="U64" s="442">
        <v>10279</v>
      </c>
      <c r="V64" s="443">
        <v>18262</v>
      </c>
      <c r="AX64" s="492" t="s">
        <v>209</v>
      </c>
      <c r="AY64" s="497"/>
      <c r="AZ64" s="406"/>
      <c r="BA64" s="406"/>
      <c r="BB64" s="406"/>
      <c r="BC64" s="435">
        <v>6</v>
      </c>
      <c r="BD64" s="435">
        <v>19</v>
      </c>
      <c r="BE64" s="507">
        <v>4</v>
      </c>
      <c r="BF64" s="508">
        <v>29</v>
      </c>
      <c r="BG64" s="801"/>
    </row>
    <row r="65" spans="1:59" ht="15.75" thickTop="1" x14ac:dyDescent="0.25">
      <c r="A65" s="130" t="s">
        <v>290</v>
      </c>
      <c r="B65" s="201"/>
      <c r="C65" s="367"/>
      <c r="D65" s="368"/>
      <c r="E65" s="368"/>
      <c r="F65" s="375"/>
      <c r="G65" s="376"/>
      <c r="H65" s="377"/>
      <c r="I65" s="376">
        <v>11</v>
      </c>
      <c r="J65" s="378">
        <v>26</v>
      </c>
      <c r="K65" s="379">
        <f t="shared" si="8"/>
        <v>37</v>
      </c>
      <c r="L65" s="320">
        <f t="shared" si="9"/>
        <v>6.0733396802468726E-4</v>
      </c>
      <c r="M65" s="804"/>
      <c r="O65" s="400" t="s">
        <v>321</v>
      </c>
      <c r="P65" s="444"/>
      <c r="Q65" s="445"/>
      <c r="R65" s="445"/>
      <c r="S65" s="445">
        <v>198</v>
      </c>
      <c r="T65" s="445">
        <v>1486</v>
      </c>
      <c r="U65" s="446">
        <v>1660</v>
      </c>
      <c r="V65" s="433">
        <v>3344</v>
      </c>
      <c r="W65" s="800">
        <f>V64/V22</f>
        <v>0.29976034929910378</v>
      </c>
      <c r="AX65" s="492" t="s">
        <v>200</v>
      </c>
      <c r="AY65" s="497"/>
      <c r="AZ65" s="406"/>
      <c r="BA65" s="406"/>
      <c r="BB65" s="406"/>
      <c r="BC65" s="435">
        <v>1</v>
      </c>
      <c r="BD65" s="435">
        <v>7</v>
      </c>
      <c r="BE65" s="507">
        <v>13</v>
      </c>
      <c r="BF65" s="508">
        <v>21</v>
      </c>
      <c r="BG65" s="801"/>
    </row>
    <row r="66" spans="1:59" ht="15" x14ac:dyDescent="0.25">
      <c r="A66" s="130" t="s">
        <v>308</v>
      </c>
      <c r="B66" s="201"/>
      <c r="C66" s="367"/>
      <c r="D66" s="368"/>
      <c r="E66" s="368"/>
      <c r="F66" s="375"/>
      <c r="G66" s="376"/>
      <c r="H66" s="377"/>
      <c r="I66" s="376">
        <v>4</v>
      </c>
      <c r="J66" s="378">
        <v>29</v>
      </c>
      <c r="K66" s="379">
        <f t="shared" si="8"/>
        <v>33</v>
      </c>
      <c r="L66" s="320">
        <f t="shared" si="9"/>
        <v>5.4167624175174812E-4</v>
      </c>
      <c r="M66" s="804"/>
      <c r="O66" s="400" t="s">
        <v>329</v>
      </c>
      <c r="P66" s="434"/>
      <c r="Q66" s="435"/>
      <c r="R66" s="435"/>
      <c r="S66" s="435">
        <v>238</v>
      </c>
      <c r="T66" s="435">
        <v>1296</v>
      </c>
      <c r="U66" s="436">
        <v>1423</v>
      </c>
      <c r="V66" s="433">
        <v>2957</v>
      </c>
      <c r="W66" s="801"/>
      <c r="AX66" s="492" t="s">
        <v>270</v>
      </c>
      <c r="AY66" s="497"/>
      <c r="AZ66" s="406"/>
      <c r="BA66" s="406"/>
      <c r="BB66" s="406"/>
      <c r="BC66" s="435"/>
      <c r="BD66" s="435">
        <v>16</v>
      </c>
      <c r="BE66" s="507">
        <v>1</v>
      </c>
      <c r="BF66" s="508">
        <v>17</v>
      </c>
      <c r="BG66" s="801"/>
    </row>
    <row r="67" spans="1:59" ht="15" x14ac:dyDescent="0.25">
      <c r="A67" s="130" t="s">
        <v>384</v>
      </c>
      <c r="B67" s="201"/>
      <c r="C67" s="367"/>
      <c r="D67" s="368"/>
      <c r="E67" s="368"/>
      <c r="F67" s="375"/>
      <c r="G67" s="376"/>
      <c r="H67" s="377"/>
      <c r="I67" s="376"/>
      <c r="J67" s="378">
        <v>20</v>
      </c>
      <c r="K67" s="379">
        <f t="shared" si="8"/>
        <v>20</v>
      </c>
      <c r="L67" s="320">
        <f t="shared" si="9"/>
        <v>3.2828863136469586E-4</v>
      </c>
      <c r="M67" s="804"/>
      <c r="O67" s="400" t="s">
        <v>319</v>
      </c>
      <c r="P67" s="434"/>
      <c r="Q67" s="435"/>
      <c r="R67" s="435"/>
      <c r="S67" s="435">
        <v>38</v>
      </c>
      <c r="T67" s="435">
        <v>888</v>
      </c>
      <c r="U67" s="436">
        <v>1117</v>
      </c>
      <c r="V67" s="433">
        <v>2043</v>
      </c>
      <c r="W67" s="801"/>
      <c r="AX67" s="492" t="s">
        <v>273</v>
      </c>
      <c r="AY67" s="497"/>
      <c r="AZ67" s="406"/>
      <c r="BA67" s="406"/>
      <c r="BB67" s="406"/>
      <c r="BC67" s="435">
        <v>1</v>
      </c>
      <c r="BD67" s="435">
        <v>10</v>
      </c>
      <c r="BE67" s="507">
        <v>5</v>
      </c>
      <c r="BF67" s="508">
        <v>16</v>
      </c>
      <c r="BG67" s="801"/>
    </row>
    <row r="68" spans="1:59" ht="15" x14ac:dyDescent="0.25">
      <c r="A68" s="130" t="s">
        <v>295</v>
      </c>
      <c r="B68" s="201"/>
      <c r="C68" s="367"/>
      <c r="D68" s="368"/>
      <c r="E68" s="368"/>
      <c r="F68" s="375"/>
      <c r="G68" s="376"/>
      <c r="H68" s="377">
        <v>1</v>
      </c>
      <c r="I68" s="376">
        <v>2</v>
      </c>
      <c r="J68" s="378">
        <v>6</v>
      </c>
      <c r="K68" s="379">
        <f t="shared" si="8"/>
        <v>9</v>
      </c>
      <c r="L68" s="320">
        <f t="shared" si="9"/>
        <v>1.4772988411411312E-4</v>
      </c>
      <c r="M68" s="804"/>
      <c r="O68" s="400" t="s">
        <v>291</v>
      </c>
      <c r="P68" s="434"/>
      <c r="Q68" s="435"/>
      <c r="R68" s="435"/>
      <c r="S68" s="435">
        <v>68</v>
      </c>
      <c r="T68" s="435">
        <v>943</v>
      </c>
      <c r="U68" s="436">
        <v>986</v>
      </c>
      <c r="V68" s="433">
        <v>1997</v>
      </c>
      <c r="W68" s="801"/>
      <c r="AX68" s="492" t="s">
        <v>206</v>
      </c>
      <c r="AY68" s="497"/>
      <c r="AZ68" s="406"/>
      <c r="BA68" s="406"/>
      <c r="BB68" s="406"/>
      <c r="BC68" s="435">
        <v>1</v>
      </c>
      <c r="BD68" s="435">
        <v>3</v>
      </c>
      <c r="BE68" s="507">
        <v>11</v>
      </c>
      <c r="BF68" s="508">
        <v>15</v>
      </c>
      <c r="BG68" s="801"/>
    </row>
    <row r="69" spans="1:59" ht="15" x14ac:dyDescent="0.25">
      <c r="A69" s="130" t="s">
        <v>293</v>
      </c>
      <c r="B69" s="201"/>
      <c r="C69" s="367"/>
      <c r="D69" s="368"/>
      <c r="E69" s="368"/>
      <c r="F69" s="375"/>
      <c r="G69" s="376"/>
      <c r="H69" s="377"/>
      <c r="I69" s="376">
        <v>2</v>
      </c>
      <c r="J69" s="378">
        <v>4</v>
      </c>
      <c r="K69" s="379">
        <f t="shared" si="8"/>
        <v>6</v>
      </c>
      <c r="L69" s="320">
        <f t="shared" si="9"/>
        <v>9.848658940940875E-5</v>
      </c>
      <c r="M69" s="804"/>
      <c r="O69" s="400" t="s">
        <v>312</v>
      </c>
      <c r="P69" s="434"/>
      <c r="Q69" s="435"/>
      <c r="R69" s="435"/>
      <c r="S69" s="435">
        <v>27</v>
      </c>
      <c r="T69" s="435">
        <v>474</v>
      </c>
      <c r="U69" s="436">
        <v>1116</v>
      </c>
      <c r="V69" s="433">
        <v>1617</v>
      </c>
      <c r="W69" s="801"/>
      <c r="AX69" s="492" t="s">
        <v>197</v>
      </c>
      <c r="AY69" s="497"/>
      <c r="AZ69" s="406"/>
      <c r="BA69" s="406"/>
      <c r="BB69" s="406"/>
      <c r="BC69" s="435">
        <v>1</v>
      </c>
      <c r="BD69" s="435">
        <v>5</v>
      </c>
      <c r="BE69" s="507">
        <v>8</v>
      </c>
      <c r="BF69" s="508">
        <v>14</v>
      </c>
      <c r="BG69" s="801"/>
    </row>
    <row r="70" spans="1:59" ht="15" x14ac:dyDescent="0.25">
      <c r="A70" s="130" t="s">
        <v>309</v>
      </c>
      <c r="B70" s="201"/>
      <c r="C70" s="367"/>
      <c r="D70" s="368"/>
      <c r="E70" s="368"/>
      <c r="F70" s="375"/>
      <c r="G70" s="376"/>
      <c r="H70" s="377"/>
      <c r="I70" s="376"/>
      <c r="J70" s="378">
        <v>5</v>
      </c>
      <c r="K70" s="379">
        <f t="shared" si="8"/>
        <v>5</v>
      </c>
      <c r="L70" s="320">
        <f t="shared" si="9"/>
        <v>8.2072157841173965E-5</v>
      </c>
      <c r="M70" s="804"/>
      <c r="O70" s="400" t="s">
        <v>296</v>
      </c>
      <c r="P70" s="434"/>
      <c r="Q70" s="435"/>
      <c r="R70" s="435"/>
      <c r="S70" s="435">
        <v>27</v>
      </c>
      <c r="T70" s="435">
        <v>518</v>
      </c>
      <c r="U70" s="436">
        <v>552</v>
      </c>
      <c r="V70" s="433">
        <v>1097</v>
      </c>
      <c r="W70" s="801"/>
      <c r="AX70" s="492" t="s">
        <v>205</v>
      </c>
      <c r="AY70" s="497"/>
      <c r="AZ70" s="406"/>
      <c r="BA70" s="406"/>
      <c r="BB70" s="406"/>
      <c r="BC70" s="435">
        <v>1</v>
      </c>
      <c r="BD70" s="435">
        <v>7</v>
      </c>
      <c r="BE70" s="507">
        <v>1</v>
      </c>
      <c r="BF70" s="508">
        <v>9</v>
      </c>
      <c r="BG70" s="801"/>
    </row>
    <row r="71" spans="1:59" ht="15" x14ac:dyDescent="0.25">
      <c r="A71" s="130" t="s">
        <v>289</v>
      </c>
      <c r="B71" s="201"/>
      <c r="C71" s="367"/>
      <c r="D71" s="368"/>
      <c r="E71" s="368"/>
      <c r="F71" s="375"/>
      <c r="G71" s="376"/>
      <c r="H71" s="377"/>
      <c r="I71" s="376">
        <v>1</v>
      </c>
      <c r="J71" s="378">
        <v>2</v>
      </c>
      <c r="K71" s="379">
        <f t="shared" si="8"/>
        <v>3</v>
      </c>
      <c r="L71" s="320">
        <f t="shared" si="9"/>
        <v>4.9243294704704375E-5</v>
      </c>
      <c r="M71" s="804"/>
      <c r="O71" s="400" t="s">
        <v>332</v>
      </c>
      <c r="P71" s="434"/>
      <c r="Q71" s="435"/>
      <c r="R71" s="435"/>
      <c r="S71" s="435">
        <v>16</v>
      </c>
      <c r="T71" s="435">
        <v>375</v>
      </c>
      <c r="U71" s="436">
        <v>489</v>
      </c>
      <c r="V71" s="433">
        <v>880</v>
      </c>
      <c r="W71" s="801"/>
      <c r="AX71" s="492" t="s">
        <v>199</v>
      </c>
      <c r="AY71" s="497"/>
      <c r="AZ71" s="406"/>
      <c r="BA71" s="406"/>
      <c r="BB71" s="406"/>
      <c r="BC71" s="435">
        <v>1</v>
      </c>
      <c r="BD71" s="435">
        <v>1</v>
      </c>
      <c r="BE71" s="507">
        <v>3</v>
      </c>
      <c r="BF71" s="508">
        <v>5</v>
      </c>
      <c r="BG71" s="801"/>
    </row>
    <row r="72" spans="1:59" ht="15.75" thickBot="1" x14ac:dyDescent="0.3">
      <c r="A72" s="171" t="s">
        <v>328</v>
      </c>
      <c r="B72" s="202"/>
      <c r="C72" s="380"/>
      <c r="D72" s="381"/>
      <c r="E72" s="381"/>
      <c r="F72" s="382"/>
      <c r="G72" s="383"/>
      <c r="H72" s="384">
        <v>1</v>
      </c>
      <c r="I72" s="383"/>
      <c r="J72" s="385"/>
      <c r="K72" s="386">
        <f t="shared" si="8"/>
        <v>1</v>
      </c>
      <c r="L72" s="320">
        <f t="shared" si="9"/>
        <v>1.6414431568234792E-5</v>
      </c>
      <c r="M72" s="804"/>
      <c r="O72" s="400" t="s">
        <v>316</v>
      </c>
      <c r="P72" s="434"/>
      <c r="Q72" s="435"/>
      <c r="R72" s="435"/>
      <c r="S72" s="435">
        <v>14</v>
      </c>
      <c r="T72" s="435">
        <v>284</v>
      </c>
      <c r="U72" s="436">
        <v>526</v>
      </c>
      <c r="V72" s="433">
        <v>824</v>
      </c>
      <c r="W72" s="801"/>
      <c r="AX72" s="492" t="s">
        <v>264</v>
      </c>
      <c r="AY72" s="497"/>
      <c r="AZ72" s="406"/>
      <c r="BA72" s="406"/>
      <c r="BB72" s="406"/>
      <c r="BC72" s="435">
        <v>1</v>
      </c>
      <c r="BD72" s="435">
        <v>4</v>
      </c>
      <c r="BE72" s="507"/>
      <c r="BF72" s="508">
        <v>5</v>
      </c>
      <c r="BG72" s="801"/>
    </row>
    <row r="73" spans="1:59" ht="20.25" thickTop="1" thickBot="1" x14ac:dyDescent="0.35">
      <c r="A73" s="390" t="s">
        <v>213</v>
      </c>
      <c r="B73" s="391">
        <f t="shared" ref="B73:G73" si="10">SUM(B74:B82)</f>
        <v>0</v>
      </c>
      <c r="C73" s="391">
        <f t="shared" si="10"/>
        <v>0</v>
      </c>
      <c r="D73" s="391">
        <f t="shared" si="10"/>
        <v>0</v>
      </c>
      <c r="E73" s="391">
        <f t="shared" si="10"/>
        <v>0</v>
      </c>
      <c r="F73" s="391">
        <f t="shared" si="10"/>
        <v>0</v>
      </c>
      <c r="G73" s="391">
        <f t="shared" si="10"/>
        <v>0</v>
      </c>
      <c r="H73" s="391">
        <f>SUM(H74:H82)</f>
        <v>287</v>
      </c>
      <c r="I73" s="391">
        <f t="shared" ref="I73:J73" si="11">SUM(I74:I82)</f>
        <v>1917</v>
      </c>
      <c r="J73" s="391">
        <f t="shared" si="11"/>
        <v>3471</v>
      </c>
      <c r="K73" s="392">
        <f>SUM(K74:K82)</f>
        <v>5675</v>
      </c>
      <c r="O73" s="400" t="s">
        <v>330</v>
      </c>
      <c r="P73" s="434"/>
      <c r="Q73" s="435"/>
      <c r="R73" s="435"/>
      <c r="S73" s="435">
        <v>61</v>
      </c>
      <c r="T73" s="435">
        <v>284</v>
      </c>
      <c r="U73" s="436">
        <v>472</v>
      </c>
      <c r="V73" s="433">
        <v>817</v>
      </c>
      <c r="W73" s="801"/>
      <c r="AX73" s="492" t="s">
        <v>272</v>
      </c>
      <c r="AY73" s="497"/>
      <c r="AZ73" s="406"/>
      <c r="BA73" s="406"/>
      <c r="BB73" s="406"/>
      <c r="BC73" s="435">
        <v>1</v>
      </c>
      <c r="BD73" s="435">
        <v>1</v>
      </c>
      <c r="BE73" s="507">
        <v>2</v>
      </c>
      <c r="BF73" s="508">
        <v>4</v>
      </c>
      <c r="BG73" s="801"/>
    </row>
    <row r="74" spans="1:59" ht="15.75" thickTop="1" x14ac:dyDescent="0.25">
      <c r="A74" s="387" t="s">
        <v>319</v>
      </c>
      <c r="B74" s="363"/>
      <c r="C74" s="363"/>
      <c r="D74" s="388"/>
      <c r="E74" s="388"/>
      <c r="F74" s="388"/>
      <c r="G74" s="388"/>
      <c r="H74" s="388">
        <v>122</v>
      </c>
      <c r="I74" s="388">
        <v>759</v>
      </c>
      <c r="J74" s="388">
        <v>1567</v>
      </c>
      <c r="K74" s="389">
        <f t="shared" si="8"/>
        <v>2448</v>
      </c>
      <c r="L74" s="324">
        <f>K74/$K$73</f>
        <v>0.43136563876651984</v>
      </c>
      <c r="M74" s="805">
        <f>K73/K114</f>
        <v>7.8855586588297416E-2</v>
      </c>
      <c r="O74" s="400" t="s">
        <v>317</v>
      </c>
      <c r="P74" s="434"/>
      <c r="Q74" s="435"/>
      <c r="R74" s="435"/>
      <c r="S74" s="435">
        <v>8</v>
      </c>
      <c r="T74" s="435">
        <v>92</v>
      </c>
      <c r="U74" s="436">
        <v>277</v>
      </c>
      <c r="V74" s="433">
        <v>377</v>
      </c>
      <c r="W74" s="801"/>
      <c r="AX74" s="492" t="s">
        <v>203</v>
      </c>
      <c r="AY74" s="497"/>
      <c r="AZ74" s="406"/>
      <c r="BA74" s="406"/>
      <c r="BB74" s="406"/>
      <c r="BC74" s="435"/>
      <c r="BD74" s="435">
        <v>2</v>
      </c>
      <c r="BE74" s="507">
        <v>2</v>
      </c>
      <c r="BF74" s="508">
        <v>4</v>
      </c>
      <c r="BG74" s="801"/>
    </row>
    <row r="75" spans="1:59" ht="15" x14ac:dyDescent="0.25">
      <c r="A75" s="130" t="s">
        <v>385</v>
      </c>
      <c r="B75" s="201"/>
      <c r="C75" s="201"/>
      <c r="D75" s="169"/>
      <c r="E75" s="169"/>
      <c r="F75" s="169"/>
      <c r="G75" s="169"/>
      <c r="H75" s="169">
        <v>84</v>
      </c>
      <c r="I75" s="169">
        <v>648</v>
      </c>
      <c r="J75" s="169">
        <v>639</v>
      </c>
      <c r="K75" s="323">
        <f t="shared" si="8"/>
        <v>1371</v>
      </c>
      <c r="L75" s="325">
        <f t="shared" ref="L75:L82" si="12">K75/$K$73</f>
        <v>0.24158590308370045</v>
      </c>
      <c r="M75" s="806"/>
      <c r="O75" s="400" t="s">
        <v>305</v>
      </c>
      <c r="P75" s="434"/>
      <c r="Q75" s="435"/>
      <c r="R75" s="435"/>
      <c r="S75" s="435">
        <v>7</v>
      </c>
      <c r="T75" s="435">
        <v>86</v>
      </c>
      <c r="U75" s="436">
        <v>251</v>
      </c>
      <c r="V75" s="433">
        <v>344</v>
      </c>
      <c r="W75" s="801"/>
      <c r="AX75" s="492" t="s">
        <v>387</v>
      </c>
      <c r="AY75" s="497"/>
      <c r="AZ75" s="406"/>
      <c r="BA75" s="406"/>
      <c r="BB75" s="406"/>
      <c r="BC75" s="435"/>
      <c r="BD75" s="435"/>
      <c r="BE75" s="507">
        <v>4</v>
      </c>
      <c r="BF75" s="508">
        <v>4</v>
      </c>
      <c r="BG75" s="801"/>
    </row>
    <row r="76" spans="1:59" ht="15" x14ac:dyDescent="0.25">
      <c r="A76" s="130" t="s">
        <v>331</v>
      </c>
      <c r="B76" s="201"/>
      <c r="C76" s="201"/>
      <c r="D76" s="169"/>
      <c r="E76" s="169"/>
      <c r="F76" s="169"/>
      <c r="G76" s="169"/>
      <c r="H76" s="169"/>
      <c r="I76" s="169"/>
      <c r="J76" s="169">
        <v>818</v>
      </c>
      <c r="K76" s="323">
        <f t="shared" si="8"/>
        <v>818</v>
      </c>
      <c r="L76" s="325">
        <f t="shared" si="12"/>
        <v>0.1441409691629956</v>
      </c>
      <c r="M76" s="806"/>
      <c r="O76" s="400" t="s">
        <v>292</v>
      </c>
      <c r="P76" s="434"/>
      <c r="Q76" s="435"/>
      <c r="R76" s="435"/>
      <c r="S76" s="435">
        <v>3</v>
      </c>
      <c r="T76" s="435">
        <v>48</v>
      </c>
      <c r="U76" s="436">
        <v>272</v>
      </c>
      <c r="V76" s="433">
        <v>323</v>
      </c>
      <c r="W76" s="801"/>
      <c r="AX76" s="492" t="s">
        <v>271</v>
      </c>
      <c r="AY76" s="497"/>
      <c r="AZ76" s="406"/>
      <c r="BA76" s="406"/>
      <c r="BB76" s="406"/>
      <c r="BC76" s="435">
        <v>2</v>
      </c>
      <c r="BD76" s="435">
        <v>1</v>
      </c>
      <c r="BE76" s="507"/>
      <c r="BF76" s="508">
        <v>3</v>
      </c>
      <c r="BG76" s="801"/>
    </row>
    <row r="77" spans="1:59" ht="15" x14ac:dyDescent="0.25">
      <c r="A77" s="130" t="s">
        <v>321</v>
      </c>
      <c r="B77" s="201"/>
      <c r="C77" s="201"/>
      <c r="D77" s="169"/>
      <c r="E77" s="169"/>
      <c r="F77" s="169"/>
      <c r="G77" s="169"/>
      <c r="H77" s="169">
        <v>72</v>
      </c>
      <c r="I77" s="169">
        <v>353</v>
      </c>
      <c r="J77" s="169">
        <v>191</v>
      </c>
      <c r="K77" s="323">
        <f t="shared" si="8"/>
        <v>616</v>
      </c>
      <c r="L77" s="325">
        <f t="shared" si="12"/>
        <v>0.10854625550660793</v>
      </c>
      <c r="M77" s="806"/>
      <c r="O77" s="400" t="s">
        <v>322</v>
      </c>
      <c r="P77" s="434"/>
      <c r="Q77" s="435"/>
      <c r="R77" s="435"/>
      <c r="S77" s="435">
        <v>1</v>
      </c>
      <c r="T77" s="435">
        <v>65</v>
      </c>
      <c r="U77" s="436">
        <v>252</v>
      </c>
      <c r="V77" s="433">
        <v>318</v>
      </c>
      <c r="W77" s="801"/>
      <c r="AX77" s="492" t="s">
        <v>277</v>
      </c>
      <c r="AY77" s="497"/>
      <c r="AZ77" s="406"/>
      <c r="BA77" s="406"/>
      <c r="BB77" s="406"/>
      <c r="BC77" s="435">
        <v>2</v>
      </c>
      <c r="BD77" s="435"/>
      <c r="BE77" s="507"/>
      <c r="BF77" s="508">
        <v>2</v>
      </c>
      <c r="BG77" s="801"/>
    </row>
    <row r="78" spans="1:59" ht="15" x14ac:dyDescent="0.25">
      <c r="A78" s="130" t="s">
        <v>334</v>
      </c>
      <c r="B78" s="201"/>
      <c r="C78" s="201"/>
      <c r="D78" s="169"/>
      <c r="E78" s="169"/>
      <c r="F78" s="169"/>
      <c r="G78" s="169"/>
      <c r="H78" s="169">
        <v>4</v>
      </c>
      <c r="I78" s="169">
        <v>157</v>
      </c>
      <c r="J78" s="169">
        <v>185</v>
      </c>
      <c r="K78" s="323">
        <f t="shared" si="8"/>
        <v>346</v>
      </c>
      <c r="L78" s="325">
        <f t="shared" si="12"/>
        <v>6.0969162995594711E-2</v>
      </c>
      <c r="M78" s="806"/>
      <c r="O78" s="400" t="s">
        <v>285</v>
      </c>
      <c r="P78" s="434"/>
      <c r="Q78" s="435"/>
      <c r="R78" s="435"/>
      <c r="S78" s="435"/>
      <c r="T78" s="435">
        <v>91</v>
      </c>
      <c r="U78" s="436">
        <v>208</v>
      </c>
      <c r="V78" s="433">
        <v>299</v>
      </c>
      <c r="W78" s="801"/>
      <c r="AX78" s="492" t="s">
        <v>265</v>
      </c>
      <c r="AY78" s="497"/>
      <c r="AZ78" s="406"/>
      <c r="BA78" s="406"/>
      <c r="BB78" s="406"/>
      <c r="BC78" s="435"/>
      <c r="BD78" s="435">
        <v>1</v>
      </c>
      <c r="BE78" s="507">
        <v>1</v>
      </c>
      <c r="BF78" s="508">
        <v>2</v>
      </c>
      <c r="BG78" s="801"/>
    </row>
    <row r="79" spans="1:59" ht="15" x14ac:dyDescent="0.25">
      <c r="A79" s="130" t="s">
        <v>312</v>
      </c>
      <c r="B79" s="201"/>
      <c r="C79" s="201"/>
      <c r="D79" s="169"/>
      <c r="E79" s="169"/>
      <c r="F79" s="169"/>
      <c r="G79" s="169"/>
      <c r="H79" s="169"/>
      <c r="I79" s="169"/>
      <c r="J79" s="169">
        <v>63</v>
      </c>
      <c r="K79" s="323">
        <f t="shared" si="8"/>
        <v>63</v>
      </c>
      <c r="L79" s="325">
        <f t="shared" si="12"/>
        <v>1.1101321585903084E-2</v>
      </c>
      <c r="M79" s="806"/>
      <c r="O79" s="400" t="s">
        <v>303</v>
      </c>
      <c r="P79" s="434"/>
      <c r="Q79" s="435"/>
      <c r="R79" s="435"/>
      <c r="S79" s="435"/>
      <c r="T79" s="435">
        <v>42</v>
      </c>
      <c r="U79" s="436">
        <v>143</v>
      </c>
      <c r="V79" s="433">
        <v>185</v>
      </c>
      <c r="W79" s="801"/>
      <c r="AX79" s="492" t="s">
        <v>335</v>
      </c>
      <c r="AY79" s="497"/>
      <c r="AZ79" s="406"/>
      <c r="BA79" s="406"/>
      <c r="BB79" s="406"/>
      <c r="BC79" s="435"/>
      <c r="BD79" s="435"/>
      <c r="BE79" s="507">
        <v>1</v>
      </c>
      <c r="BF79" s="508">
        <v>1</v>
      </c>
      <c r="BG79" s="801"/>
    </row>
    <row r="80" spans="1:59" ht="15" x14ac:dyDescent="0.25">
      <c r="A80" s="130" t="s">
        <v>311</v>
      </c>
      <c r="B80" s="201"/>
      <c r="C80" s="201"/>
      <c r="D80" s="169"/>
      <c r="E80" s="169"/>
      <c r="F80" s="169"/>
      <c r="G80" s="169"/>
      <c r="H80" s="169"/>
      <c r="I80" s="169"/>
      <c r="J80" s="169">
        <v>6</v>
      </c>
      <c r="K80" s="323">
        <f t="shared" si="8"/>
        <v>6</v>
      </c>
      <c r="L80" s="325">
        <f t="shared" si="12"/>
        <v>1.0572687224669603E-3</v>
      </c>
      <c r="M80" s="806"/>
      <c r="O80" s="400" t="s">
        <v>323</v>
      </c>
      <c r="P80" s="434"/>
      <c r="Q80" s="435"/>
      <c r="R80" s="435"/>
      <c r="S80" s="435">
        <v>3</v>
      </c>
      <c r="T80" s="435">
        <v>64</v>
      </c>
      <c r="U80" s="436">
        <v>92</v>
      </c>
      <c r="V80" s="433">
        <v>159</v>
      </c>
      <c r="W80" s="801"/>
      <c r="AX80" s="492" t="s">
        <v>278</v>
      </c>
      <c r="AY80" s="497"/>
      <c r="AZ80" s="406"/>
      <c r="BA80" s="406"/>
      <c r="BB80" s="406"/>
      <c r="BC80" s="435">
        <v>1</v>
      </c>
      <c r="BD80" s="435"/>
      <c r="BE80" s="507"/>
      <c r="BF80" s="508">
        <v>1</v>
      </c>
      <c r="BG80" s="801"/>
    </row>
    <row r="81" spans="1:59" ht="15" x14ac:dyDescent="0.25">
      <c r="A81" s="130" t="s">
        <v>329</v>
      </c>
      <c r="B81" s="201"/>
      <c r="C81" s="201"/>
      <c r="D81" s="169"/>
      <c r="E81" s="169"/>
      <c r="F81" s="169"/>
      <c r="G81" s="169"/>
      <c r="H81" s="169">
        <v>4</v>
      </c>
      <c r="I81" s="169"/>
      <c r="J81" s="169"/>
      <c r="K81" s="323">
        <f t="shared" si="8"/>
        <v>4</v>
      </c>
      <c r="L81" s="325">
        <f t="shared" si="12"/>
        <v>7.0484581497797362E-4</v>
      </c>
      <c r="M81" s="806"/>
      <c r="O81" s="400" t="s">
        <v>288</v>
      </c>
      <c r="P81" s="434"/>
      <c r="Q81" s="435"/>
      <c r="R81" s="435"/>
      <c r="S81" s="435">
        <v>3</v>
      </c>
      <c r="T81" s="435">
        <v>112</v>
      </c>
      <c r="U81" s="436">
        <v>30</v>
      </c>
      <c r="V81" s="433">
        <v>145</v>
      </c>
      <c r="W81" s="801"/>
      <c r="AX81" s="492" t="s">
        <v>279</v>
      </c>
      <c r="AY81" s="497"/>
      <c r="AZ81" s="406"/>
      <c r="BA81" s="406"/>
      <c r="BB81" s="406"/>
      <c r="BC81" s="435">
        <v>1</v>
      </c>
      <c r="BD81" s="435"/>
      <c r="BE81" s="507"/>
      <c r="BF81" s="508">
        <v>1</v>
      </c>
      <c r="BG81" s="801"/>
    </row>
    <row r="82" spans="1:59" ht="15.75" thickBot="1" x14ac:dyDescent="0.3">
      <c r="A82" s="130" t="s">
        <v>310</v>
      </c>
      <c r="B82" s="201"/>
      <c r="C82" s="201"/>
      <c r="D82" s="169"/>
      <c r="E82" s="169"/>
      <c r="F82" s="169"/>
      <c r="G82" s="169"/>
      <c r="H82" s="169">
        <v>1</v>
      </c>
      <c r="I82" s="169"/>
      <c r="J82" s="169">
        <v>2</v>
      </c>
      <c r="K82" s="323">
        <f t="shared" si="8"/>
        <v>3</v>
      </c>
      <c r="L82" s="326">
        <f t="shared" si="12"/>
        <v>5.2863436123348013E-4</v>
      </c>
      <c r="M82" s="807"/>
      <c r="O82" s="400" t="s">
        <v>318</v>
      </c>
      <c r="P82" s="434"/>
      <c r="Q82" s="435"/>
      <c r="R82" s="435"/>
      <c r="S82" s="435"/>
      <c r="T82" s="435">
        <v>5</v>
      </c>
      <c r="U82" s="436">
        <v>131</v>
      </c>
      <c r="V82" s="433">
        <v>136</v>
      </c>
      <c r="W82" s="801"/>
      <c r="AX82" s="492" t="s">
        <v>275</v>
      </c>
      <c r="AY82" s="497"/>
      <c r="AZ82" s="406"/>
      <c r="BA82" s="406"/>
      <c r="BB82" s="406"/>
      <c r="BC82" s="435">
        <v>1</v>
      </c>
      <c r="BD82" s="435"/>
      <c r="BE82" s="507"/>
      <c r="BF82" s="508">
        <v>1</v>
      </c>
      <c r="BG82" s="801"/>
    </row>
    <row r="83" spans="1:59" ht="20.25" thickTop="1" thickBot="1" x14ac:dyDescent="0.3">
      <c r="A83" s="321" t="s">
        <v>214</v>
      </c>
      <c r="B83" s="322">
        <f>SUM(B84:B103)</f>
        <v>0</v>
      </c>
      <c r="C83" s="322">
        <f t="shared" ref="C83:J83" si="13">SUM(C84:C103)</f>
        <v>0</v>
      </c>
      <c r="D83" s="322">
        <f t="shared" si="13"/>
        <v>0</v>
      </c>
      <c r="E83" s="322">
        <f t="shared" si="13"/>
        <v>1</v>
      </c>
      <c r="F83" s="322">
        <f t="shared" si="13"/>
        <v>0</v>
      </c>
      <c r="G83" s="322">
        <f t="shared" si="13"/>
        <v>0</v>
      </c>
      <c r="H83" s="322">
        <f t="shared" si="13"/>
        <v>236</v>
      </c>
      <c r="I83" s="322">
        <f t="shared" si="13"/>
        <v>1329</v>
      </c>
      <c r="J83" s="322">
        <f t="shared" si="13"/>
        <v>2379</v>
      </c>
      <c r="K83" s="327">
        <f>SUM(K84:K103)</f>
        <v>3945</v>
      </c>
      <c r="L83" s="198"/>
      <c r="M83" s="199"/>
      <c r="O83" s="400" t="s">
        <v>324</v>
      </c>
      <c r="P83" s="434"/>
      <c r="Q83" s="435"/>
      <c r="R83" s="435"/>
      <c r="S83" s="435">
        <v>1</v>
      </c>
      <c r="T83" s="435">
        <v>40</v>
      </c>
      <c r="U83" s="436">
        <v>36</v>
      </c>
      <c r="V83" s="433">
        <v>77</v>
      </c>
      <c r="W83" s="801"/>
      <c r="AX83" s="493" t="s">
        <v>276</v>
      </c>
      <c r="AY83" s="498"/>
      <c r="AZ83" s="409"/>
      <c r="BA83" s="409"/>
      <c r="BB83" s="409"/>
      <c r="BC83" s="438">
        <v>1</v>
      </c>
      <c r="BD83" s="438"/>
      <c r="BE83" s="509"/>
      <c r="BF83" s="510">
        <v>1</v>
      </c>
      <c r="BG83" s="802"/>
    </row>
    <row r="84" spans="1:59" ht="16.5" thickTop="1" thickBot="1" x14ac:dyDescent="0.3">
      <c r="A84" s="130" t="s">
        <v>291</v>
      </c>
      <c r="E84" s="393">
        <v>1</v>
      </c>
      <c r="H84" s="201">
        <v>100</v>
      </c>
      <c r="I84" s="169">
        <v>483</v>
      </c>
      <c r="J84" s="169">
        <v>644</v>
      </c>
      <c r="K84" s="319">
        <f t="shared" ref="K84:K103" si="14">SUM(E84:J84)</f>
        <v>1228</v>
      </c>
      <c r="L84" s="328">
        <f>K84/$K$83</f>
        <v>0.31128010139416984</v>
      </c>
      <c r="M84" s="803">
        <f>K83/K114</f>
        <v>5.4816791029221726E-2</v>
      </c>
      <c r="O84" s="400" t="s">
        <v>333</v>
      </c>
      <c r="P84" s="434"/>
      <c r="Q84" s="435"/>
      <c r="R84" s="435"/>
      <c r="S84" s="435"/>
      <c r="T84" s="435">
        <v>8</v>
      </c>
      <c r="U84" s="436">
        <v>69</v>
      </c>
      <c r="V84" s="433">
        <v>77</v>
      </c>
      <c r="W84" s="801"/>
      <c r="AX84" s="490" t="s">
        <v>334</v>
      </c>
      <c r="AY84" s="495"/>
      <c r="AZ84" s="411"/>
      <c r="BA84" s="411"/>
      <c r="BB84" s="411"/>
      <c r="BC84" s="511">
        <v>4</v>
      </c>
      <c r="BD84" s="511">
        <v>157</v>
      </c>
      <c r="BE84" s="512">
        <v>185</v>
      </c>
      <c r="BF84" s="513">
        <v>346</v>
      </c>
      <c r="BG84" s="537"/>
    </row>
    <row r="85" spans="1:59" ht="16.5" thickTop="1" thickBot="1" x14ac:dyDescent="0.3">
      <c r="A85" s="130" t="s">
        <v>312</v>
      </c>
      <c r="E85" s="201"/>
      <c r="H85" s="201">
        <v>17</v>
      </c>
      <c r="I85" s="169">
        <v>181</v>
      </c>
      <c r="J85" s="169">
        <v>680</v>
      </c>
      <c r="K85" s="319">
        <f t="shared" si="14"/>
        <v>878</v>
      </c>
      <c r="L85" s="329">
        <f t="shared" ref="L85:L103" si="15">K85/$K$83</f>
        <v>0.22256020278833968</v>
      </c>
      <c r="M85" s="804"/>
      <c r="O85" s="400" t="s">
        <v>300</v>
      </c>
      <c r="P85" s="434"/>
      <c r="Q85" s="435"/>
      <c r="R85" s="435"/>
      <c r="S85" s="435"/>
      <c r="T85" s="435">
        <v>46</v>
      </c>
      <c r="U85" s="436">
        <v>15</v>
      </c>
      <c r="V85" s="433">
        <v>61</v>
      </c>
      <c r="W85" s="801"/>
      <c r="AX85" s="400" t="s">
        <v>201</v>
      </c>
      <c r="AY85" s="499"/>
      <c r="AZ85" s="470"/>
      <c r="BA85" s="470"/>
      <c r="BB85" s="470"/>
      <c r="BC85" s="514">
        <v>4</v>
      </c>
      <c r="BD85" s="514">
        <v>157</v>
      </c>
      <c r="BE85" s="515">
        <v>185</v>
      </c>
      <c r="BF85" s="516">
        <v>346</v>
      </c>
      <c r="BG85" s="536">
        <f>BF84/BF22</f>
        <v>6.0969162995594711E-2</v>
      </c>
    </row>
    <row r="86" spans="1:59" ht="16.5" thickTop="1" thickBot="1" x14ac:dyDescent="0.3">
      <c r="A86" s="130" t="s">
        <v>305</v>
      </c>
      <c r="E86" s="201"/>
      <c r="H86" s="201"/>
      <c r="I86" s="169">
        <v>211</v>
      </c>
      <c r="J86" s="169">
        <v>206</v>
      </c>
      <c r="K86" s="319">
        <f t="shared" si="14"/>
        <v>417</v>
      </c>
      <c r="L86" s="329">
        <f t="shared" si="15"/>
        <v>0.10570342205323194</v>
      </c>
      <c r="M86" s="804"/>
      <c r="O86" s="400" t="s">
        <v>287</v>
      </c>
      <c r="P86" s="434"/>
      <c r="Q86" s="435"/>
      <c r="R86" s="435"/>
      <c r="S86" s="435"/>
      <c r="T86" s="435">
        <v>6</v>
      </c>
      <c r="U86" s="436">
        <v>41</v>
      </c>
      <c r="V86" s="433">
        <v>47</v>
      </c>
      <c r="W86" s="801"/>
      <c r="AX86" s="490" t="s">
        <v>312</v>
      </c>
      <c r="AY86" s="495"/>
      <c r="AZ86" s="411"/>
      <c r="BA86" s="411"/>
      <c r="BB86" s="411"/>
      <c r="BC86" s="511"/>
      <c r="BD86" s="511"/>
      <c r="BE86" s="512">
        <v>63</v>
      </c>
      <c r="BF86" s="513">
        <v>63</v>
      </c>
      <c r="BG86" s="537"/>
    </row>
    <row r="87" spans="1:59" ht="15.75" thickTop="1" x14ac:dyDescent="0.25">
      <c r="A87" s="130" t="s">
        <v>329</v>
      </c>
      <c r="E87" s="201"/>
      <c r="H87" s="201">
        <v>9</v>
      </c>
      <c r="I87" s="169">
        <v>178</v>
      </c>
      <c r="J87" s="169">
        <v>141</v>
      </c>
      <c r="K87" s="319">
        <f t="shared" si="14"/>
        <v>328</v>
      </c>
      <c r="L87" s="329">
        <f t="shared" si="15"/>
        <v>8.3143219264892265E-2</v>
      </c>
      <c r="M87" s="804"/>
      <c r="O87" s="400" t="s">
        <v>306</v>
      </c>
      <c r="P87" s="434"/>
      <c r="Q87" s="435"/>
      <c r="R87" s="435"/>
      <c r="S87" s="435"/>
      <c r="T87" s="435">
        <v>5</v>
      </c>
      <c r="U87" s="436">
        <v>41</v>
      </c>
      <c r="V87" s="433">
        <v>46</v>
      </c>
      <c r="W87" s="801"/>
      <c r="AX87" s="494" t="s">
        <v>201</v>
      </c>
      <c r="AY87" s="500"/>
      <c r="AZ87" s="415"/>
      <c r="BA87" s="415"/>
      <c r="BB87" s="415"/>
      <c r="BC87" s="445"/>
      <c r="BD87" s="445"/>
      <c r="BE87" s="517">
        <v>20</v>
      </c>
      <c r="BF87" s="518">
        <v>20</v>
      </c>
      <c r="BG87" s="800">
        <f>BF86/BF22</f>
        <v>1.1101321585903084E-2</v>
      </c>
    </row>
    <row r="88" spans="1:59" ht="15" x14ac:dyDescent="0.25">
      <c r="A88" s="130" t="s">
        <v>323</v>
      </c>
      <c r="E88" s="201"/>
      <c r="H88" s="201">
        <v>80</v>
      </c>
      <c r="I88" s="169">
        <v>89</v>
      </c>
      <c r="J88" s="169">
        <v>78</v>
      </c>
      <c r="K88" s="319">
        <f t="shared" si="14"/>
        <v>247</v>
      </c>
      <c r="L88" s="329">
        <f t="shared" si="15"/>
        <v>6.2610899873257284E-2</v>
      </c>
      <c r="M88" s="804"/>
      <c r="O88" s="400" t="s">
        <v>286</v>
      </c>
      <c r="P88" s="434"/>
      <c r="Q88" s="435"/>
      <c r="R88" s="435"/>
      <c r="S88" s="435"/>
      <c r="T88" s="435"/>
      <c r="U88" s="436">
        <v>23</v>
      </c>
      <c r="V88" s="433">
        <v>23</v>
      </c>
      <c r="W88" s="801"/>
      <c r="AX88" s="492" t="s">
        <v>266</v>
      </c>
      <c r="AY88" s="497"/>
      <c r="AZ88" s="406"/>
      <c r="BA88" s="406"/>
      <c r="BB88" s="406"/>
      <c r="BC88" s="435"/>
      <c r="BD88" s="435"/>
      <c r="BE88" s="507">
        <v>14</v>
      </c>
      <c r="BF88" s="508">
        <v>14</v>
      </c>
      <c r="BG88" s="801"/>
    </row>
    <row r="89" spans="1:59" ht="15" x14ac:dyDescent="0.25">
      <c r="A89" s="130" t="s">
        <v>322</v>
      </c>
      <c r="E89" s="201"/>
      <c r="H89" s="201">
        <v>1</v>
      </c>
      <c r="I89" s="169">
        <v>49</v>
      </c>
      <c r="J89" s="169">
        <v>185</v>
      </c>
      <c r="K89" s="319">
        <f t="shared" si="14"/>
        <v>235</v>
      </c>
      <c r="L89" s="329">
        <f t="shared" si="15"/>
        <v>5.9569074778200254E-2</v>
      </c>
      <c r="M89" s="804"/>
      <c r="O89" s="400" t="s">
        <v>304</v>
      </c>
      <c r="P89" s="434"/>
      <c r="Q89" s="435"/>
      <c r="R89" s="435"/>
      <c r="S89" s="435"/>
      <c r="T89" s="435"/>
      <c r="U89" s="436">
        <v>21</v>
      </c>
      <c r="V89" s="433">
        <v>21</v>
      </c>
      <c r="W89" s="801"/>
      <c r="AX89" s="492" t="s">
        <v>269</v>
      </c>
      <c r="AY89" s="497"/>
      <c r="AZ89" s="406"/>
      <c r="BA89" s="406"/>
      <c r="BB89" s="406"/>
      <c r="BC89" s="435"/>
      <c r="BD89" s="435"/>
      <c r="BE89" s="507">
        <v>12</v>
      </c>
      <c r="BF89" s="508">
        <v>12</v>
      </c>
      <c r="BG89" s="801"/>
    </row>
    <row r="90" spans="1:59" ht="15" x14ac:dyDescent="0.25">
      <c r="A90" s="130" t="s">
        <v>319</v>
      </c>
      <c r="E90" s="201"/>
      <c r="H90" s="201">
        <v>5</v>
      </c>
      <c r="I90" s="169">
        <v>33</v>
      </c>
      <c r="J90" s="169">
        <v>148</v>
      </c>
      <c r="K90" s="319">
        <f t="shared" si="14"/>
        <v>186</v>
      </c>
      <c r="L90" s="329">
        <f t="shared" si="15"/>
        <v>4.714828897338403E-2</v>
      </c>
      <c r="M90" s="804"/>
      <c r="O90" s="400" t="s">
        <v>313</v>
      </c>
      <c r="P90" s="434"/>
      <c r="Q90" s="435"/>
      <c r="R90" s="435"/>
      <c r="S90" s="435">
        <v>1</v>
      </c>
      <c r="T90" s="435">
        <v>6</v>
      </c>
      <c r="U90" s="436">
        <v>13</v>
      </c>
      <c r="V90" s="433">
        <v>20</v>
      </c>
      <c r="W90" s="801"/>
      <c r="AX90" s="492" t="s">
        <v>198</v>
      </c>
      <c r="AY90" s="497"/>
      <c r="AZ90" s="406"/>
      <c r="BA90" s="406"/>
      <c r="BB90" s="406"/>
      <c r="BC90" s="435"/>
      <c r="BD90" s="435"/>
      <c r="BE90" s="507">
        <v>5</v>
      </c>
      <c r="BF90" s="508">
        <v>5</v>
      </c>
      <c r="BG90" s="801"/>
    </row>
    <row r="91" spans="1:59" ht="15" x14ac:dyDescent="0.25">
      <c r="A91" s="130" t="s">
        <v>292</v>
      </c>
      <c r="E91" s="201"/>
      <c r="H91" s="201">
        <v>13</v>
      </c>
      <c r="I91" s="169">
        <v>35</v>
      </c>
      <c r="J91" s="169">
        <v>124</v>
      </c>
      <c r="K91" s="319">
        <f t="shared" si="14"/>
        <v>172</v>
      </c>
      <c r="L91" s="329">
        <f t="shared" si="15"/>
        <v>4.3599493029150824E-2</v>
      </c>
      <c r="M91" s="804"/>
      <c r="O91" s="400" t="s">
        <v>284</v>
      </c>
      <c r="P91" s="434"/>
      <c r="Q91" s="435"/>
      <c r="R91" s="435"/>
      <c r="S91" s="435"/>
      <c r="T91" s="435">
        <v>3</v>
      </c>
      <c r="U91" s="436">
        <v>9</v>
      </c>
      <c r="V91" s="433">
        <v>12</v>
      </c>
      <c r="W91" s="801"/>
      <c r="AX91" s="492" t="s">
        <v>267</v>
      </c>
      <c r="AY91" s="497"/>
      <c r="AZ91" s="406"/>
      <c r="BA91" s="406"/>
      <c r="BB91" s="406"/>
      <c r="BC91" s="435"/>
      <c r="BD91" s="435"/>
      <c r="BE91" s="507">
        <v>4</v>
      </c>
      <c r="BF91" s="508">
        <v>4</v>
      </c>
      <c r="BG91" s="801"/>
    </row>
    <row r="92" spans="1:59" ht="15" x14ac:dyDescent="0.25">
      <c r="A92" s="130" t="s">
        <v>330</v>
      </c>
      <c r="E92" s="201"/>
      <c r="H92" s="201"/>
      <c r="I92" s="169">
        <v>27</v>
      </c>
      <c r="J92" s="169">
        <v>69</v>
      </c>
      <c r="K92" s="319">
        <f t="shared" si="14"/>
        <v>96</v>
      </c>
      <c r="L92" s="329">
        <f t="shared" si="15"/>
        <v>2.4334600760456272E-2</v>
      </c>
      <c r="M92" s="804"/>
      <c r="O92" s="400" t="s">
        <v>302</v>
      </c>
      <c r="P92" s="434"/>
      <c r="Q92" s="435"/>
      <c r="R92" s="435"/>
      <c r="S92" s="435"/>
      <c r="T92" s="435">
        <v>2</v>
      </c>
      <c r="U92" s="436">
        <v>3</v>
      </c>
      <c r="V92" s="433">
        <v>5</v>
      </c>
      <c r="W92" s="801"/>
      <c r="AX92" s="492" t="s">
        <v>271</v>
      </c>
      <c r="AY92" s="497"/>
      <c r="AZ92" s="406"/>
      <c r="BA92" s="406"/>
      <c r="BB92" s="406"/>
      <c r="BC92" s="435"/>
      <c r="BD92" s="435"/>
      <c r="BE92" s="507">
        <v>3</v>
      </c>
      <c r="BF92" s="508">
        <v>3</v>
      </c>
      <c r="BG92" s="801"/>
    </row>
    <row r="93" spans="1:59" ht="15" x14ac:dyDescent="0.25">
      <c r="A93" s="130" t="s">
        <v>321</v>
      </c>
      <c r="E93" s="201"/>
      <c r="H93" s="201">
        <v>5</v>
      </c>
      <c r="I93" s="169">
        <v>9</v>
      </c>
      <c r="J93" s="169">
        <v>38</v>
      </c>
      <c r="K93" s="319">
        <f t="shared" si="14"/>
        <v>52</v>
      </c>
      <c r="L93" s="329">
        <f t="shared" si="15"/>
        <v>1.3181242078580482E-2</v>
      </c>
      <c r="M93" s="804"/>
      <c r="O93" s="400" t="s">
        <v>309</v>
      </c>
      <c r="P93" s="434"/>
      <c r="Q93" s="435"/>
      <c r="R93" s="435"/>
      <c r="S93" s="435"/>
      <c r="T93" s="435"/>
      <c r="U93" s="436">
        <v>5</v>
      </c>
      <c r="V93" s="433">
        <v>5</v>
      </c>
      <c r="W93" s="801"/>
      <c r="AX93" s="492" t="s">
        <v>208</v>
      </c>
      <c r="AY93" s="497"/>
      <c r="AZ93" s="406"/>
      <c r="BA93" s="406"/>
      <c r="BB93" s="406"/>
      <c r="BC93" s="435"/>
      <c r="BD93" s="435"/>
      <c r="BE93" s="507">
        <v>2</v>
      </c>
      <c r="BF93" s="508">
        <v>2</v>
      </c>
      <c r="BG93" s="801"/>
    </row>
    <row r="94" spans="1:59" ht="15" x14ac:dyDescent="0.25">
      <c r="A94" s="130" t="s">
        <v>318</v>
      </c>
      <c r="E94" s="201"/>
      <c r="H94" s="201"/>
      <c r="I94" s="169">
        <v>8</v>
      </c>
      <c r="J94" s="169">
        <v>14</v>
      </c>
      <c r="K94" s="319">
        <f t="shared" si="14"/>
        <v>22</v>
      </c>
      <c r="L94" s="329">
        <f t="shared" si="15"/>
        <v>5.5766793409378962E-3</v>
      </c>
      <c r="M94" s="804"/>
      <c r="O94" s="400" t="s">
        <v>314</v>
      </c>
      <c r="P94" s="434"/>
      <c r="Q94" s="435"/>
      <c r="R94" s="435"/>
      <c r="S94" s="435"/>
      <c r="T94" s="435"/>
      <c r="U94" s="436">
        <v>4</v>
      </c>
      <c r="V94" s="433">
        <v>4</v>
      </c>
      <c r="W94" s="801"/>
      <c r="AX94" s="492" t="s">
        <v>199</v>
      </c>
      <c r="AY94" s="497"/>
      <c r="AZ94" s="406"/>
      <c r="BA94" s="406"/>
      <c r="BB94" s="406"/>
      <c r="BC94" s="435"/>
      <c r="BD94" s="435"/>
      <c r="BE94" s="507">
        <v>1</v>
      </c>
      <c r="BF94" s="508">
        <v>1</v>
      </c>
      <c r="BG94" s="801"/>
    </row>
    <row r="95" spans="1:59" ht="15.75" thickBot="1" x14ac:dyDescent="0.3">
      <c r="A95" s="130" t="s">
        <v>313</v>
      </c>
      <c r="E95" s="201"/>
      <c r="H95" s="201"/>
      <c r="I95" s="169">
        <v>13</v>
      </c>
      <c r="J95" s="169">
        <v>8</v>
      </c>
      <c r="K95" s="319">
        <f t="shared" si="14"/>
        <v>21</v>
      </c>
      <c r="L95" s="329">
        <f t="shared" si="15"/>
        <v>5.3231939163498098E-3</v>
      </c>
      <c r="M95" s="804"/>
      <c r="O95" s="400" t="s">
        <v>301</v>
      </c>
      <c r="P95" s="437"/>
      <c r="Q95" s="438"/>
      <c r="R95" s="438"/>
      <c r="S95" s="438"/>
      <c r="T95" s="438"/>
      <c r="U95" s="439">
        <v>2</v>
      </c>
      <c r="V95" s="433">
        <v>2</v>
      </c>
      <c r="W95" s="802"/>
      <c r="AX95" s="492" t="s">
        <v>200</v>
      </c>
      <c r="AY95" s="497"/>
      <c r="AZ95" s="406"/>
      <c r="BA95" s="406"/>
      <c r="BB95" s="406"/>
      <c r="BC95" s="435"/>
      <c r="BD95" s="435"/>
      <c r="BE95" s="507">
        <v>1</v>
      </c>
      <c r="BF95" s="508">
        <v>1</v>
      </c>
      <c r="BG95" s="801"/>
    </row>
    <row r="96" spans="1:59" ht="16.5" thickTop="1" thickBot="1" x14ac:dyDescent="0.3">
      <c r="A96" s="130" t="s">
        <v>324</v>
      </c>
      <c r="E96" s="201"/>
      <c r="H96" s="201"/>
      <c r="I96" s="169"/>
      <c r="J96" s="169">
        <v>21</v>
      </c>
      <c r="K96" s="319">
        <f t="shared" si="14"/>
        <v>21</v>
      </c>
      <c r="L96" s="329">
        <f t="shared" si="15"/>
        <v>5.3231939163498098E-3</v>
      </c>
      <c r="M96" s="804"/>
      <c r="O96" s="412" t="s">
        <v>215</v>
      </c>
      <c r="P96" s="440"/>
      <c r="Q96" s="441">
        <v>1</v>
      </c>
      <c r="R96" s="441"/>
      <c r="S96" s="441">
        <v>281</v>
      </c>
      <c r="T96" s="441">
        <v>5375</v>
      </c>
      <c r="U96" s="442">
        <v>11107</v>
      </c>
      <c r="V96" s="443">
        <v>16764</v>
      </c>
      <c r="AX96" s="493" t="s">
        <v>273</v>
      </c>
      <c r="AY96" s="498"/>
      <c r="AZ96" s="409"/>
      <c r="BA96" s="409"/>
      <c r="BB96" s="409"/>
      <c r="BC96" s="438"/>
      <c r="BD96" s="438"/>
      <c r="BE96" s="509">
        <v>1</v>
      </c>
      <c r="BF96" s="510">
        <v>1</v>
      </c>
      <c r="BG96" s="802"/>
    </row>
    <row r="97" spans="1:59" ht="16.5" thickTop="1" thickBot="1" x14ac:dyDescent="0.3">
      <c r="A97" s="130" t="s">
        <v>306</v>
      </c>
      <c r="E97" s="201"/>
      <c r="H97" s="201"/>
      <c r="I97" s="169">
        <v>6</v>
      </c>
      <c r="J97" s="169">
        <v>9</v>
      </c>
      <c r="K97" s="319">
        <f t="shared" si="14"/>
        <v>15</v>
      </c>
      <c r="L97" s="329">
        <f t="shared" si="15"/>
        <v>3.8022813688212928E-3</v>
      </c>
      <c r="M97" s="804"/>
      <c r="O97" s="400" t="s">
        <v>291</v>
      </c>
      <c r="P97" s="444"/>
      <c r="Q97" s="445"/>
      <c r="R97" s="445"/>
      <c r="S97" s="445">
        <v>42</v>
      </c>
      <c r="T97" s="445">
        <v>1240</v>
      </c>
      <c r="U97" s="446">
        <v>1455</v>
      </c>
      <c r="V97" s="433">
        <v>2737</v>
      </c>
      <c r="W97" s="800">
        <f>V96/V22</f>
        <v>0.27517153080988804</v>
      </c>
      <c r="AX97" s="490" t="s">
        <v>311</v>
      </c>
      <c r="AY97" s="495"/>
      <c r="AZ97" s="411"/>
      <c r="BA97" s="411"/>
      <c r="BB97" s="411"/>
      <c r="BC97" s="511"/>
      <c r="BD97" s="511"/>
      <c r="BE97" s="512">
        <v>6</v>
      </c>
      <c r="BF97" s="513">
        <v>6</v>
      </c>
      <c r="BG97" s="537"/>
    </row>
    <row r="98" spans="1:59" ht="15.75" thickTop="1" x14ac:dyDescent="0.25">
      <c r="A98" s="130" t="s">
        <v>294</v>
      </c>
      <c r="E98" s="201"/>
      <c r="H98" s="201">
        <v>6</v>
      </c>
      <c r="I98" s="169">
        <v>2</v>
      </c>
      <c r="J98" s="169"/>
      <c r="K98" s="319">
        <f t="shared" si="14"/>
        <v>8</v>
      </c>
      <c r="L98" s="329">
        <f t="shared" si="15"/>
        <v>2.0278833967046894E-3</v>
      </c>
      <c r="M98" s="804"/>
      <c r="O98" s="400" t="s">
        <v>296</v>
      </c>
      <c r="P98" s="434"/>
      <c r="Q98" s="435"/>
      <c r="R98" s="435"/>
      <c r="S98" s="435">
        <v>7</v>
      </c>
      <c r="T98" s="435">
        <v>373</v>
      </c>
      <c r="U98" s="436">
        <v>1873</v>
      </c>
      <c r="V98" s="433">
        <v>2253</v>
      </c>
      <c r="W98" s="801"/>
      <c r="AX98" s="494" t="s">
        <v>273</v>
      </c>
      <c r="AY98" s="500"/>
      <c r="AZ98" s="415"/>
      <c r="BA98" s="415"/>
      <c r="BB98" s="415"/>
      <c r="BC98" s="445"/>
      <c r="BD98" s="445"/>
      <c r="BE98" s="517">
        <v>5</v>
      </c>
      <c r="BF98" s="518">
        <v>5</v>
      </c>
      <c r="BG98" s="800">
        <f>BF97/BF22</f>
        <v>1.0572687224669603E-3</v>
      </c>
    </row>
    <row r="99" spans="1:59" ht="15.75" thickBot="1" x14ac:dyDescent="0.3">
      <c r="A99" s="130" t="s">
        <v>303</v>
      </c>
      <c r="E99" s="201"/>
      <c r="H99" s="201"/>
      <c r="I99" s="169"/>
      <c r="J99" s="169">
        <v>8</v>
      </c>
      <c r="K99" s="319">
        <f t="shared" si="14"/>
        <v>8</v>
      </c>
      <c r="L99" s="329">
        <f t="shared" si="15"/>
        <v>2.0278833967046894E-3</v>
      </c>
      <c r="M99" s="804"/>
      <c r="O99" s="400" t="s">
        <v>329</v>
      </c>
      <c r="P99" s="434"/>
      <c r="Q99" s="435"/>
      <c r="R99" s="435"/>
      <c r="S99" s="435">
        <v>24</v>
      </c>
      <c r="T99" s="435">
        <v>603</v>
      </c>
      <c r="U99" s="436">
        <v>1092</v>
      </c>
      <c r="V99" s="433">
        <v>1719</v>
      </c>
      <c r="W99" s="801"/>
      <c r="AX99" s="493" t="s">
        <v>270</v>
      </c>
      <c r="AY99" s="498"/>
      <c r="AZ99" s="409"/>
      <c r="BA99" s="409"/>
      <c r="BB99" s="409"/>
      <c r="BC99" s="438"/>
      <c r="BD99" s="438"/>
      <c r="BE99" s="509">
        <v>1</v>
      </c>
      <c r="BF99" s="510">
        <v>1</v>
      </c>
      <c r="BG99" s="802"/>
    </row>
    <row r="100" spans="1:59" ht="16.5" thickTop="1" thickBot="1" x14ac:dyDescent="0.3">
      <c r="A100" s="130" t="s">
        <v>290</v>
      </c>
      <c r="E100" s="201"/>
      <c r="H100" s="201"/>
      <c r="I100" s="169">
        <v>2</v>
      </c>
      <c r="J100" s="169">
        <v>3</v>
      </c>
      <c r="K100" s="319">
        <f t="shared" si="14"/>
        <v>5</v>
      </c>
      <c r="L100" s="329">
        <f t="shared" si="15"/>
        <v>1.2674271229404308E-3</v>
      </c>
      <c r="M100" s="804"/>
      <c r="O100" s="400" t="s">
        <v>316</v>
      </c>
      <c r="P100" s="434"/>
      <c r="Q100" s="435"/>
      <c r="R100" s="435"/>
      <c r="S100" s="435">
        <v>38</v>
      </c>
      <c r="T100" s="435">
        <v>404</v>
      </c>
      <c r="U100" s="436">
        <v>662</v>
      </c>
      <c r="V100" s="433">
        <v>1104</v>
      </c>
      <c r="W100" s="801"/>
      <c r="AX100" s="490" t="s">
        <v>329</v>
      </c>
      <c r="AY100" s="495"/>
      <c r="AZ100" s="411"/>
      <c r="BA100" s="411"/>
      <c r="BB100" s="411"/>
      <c r="BC100" s="511">
        <v>4</v>
      </c>
      <c r="BD100" s="511"/>
      <c r="BE100" s="512"/>
      <c r="BF100" s="513">
        <v>4</v>
      </c>
      <c r="BG100" s="537"/>
    </row>
    <row r="101" spans="1:59" ht="15.75" thickTop="1" x14ac:dyDescent="0.25">
      <c r="A101" s="130" t="s">
        <v>284</v>
      </c>
      <c r="E101" s="201"/>
      <c r="H101" s="201"/>
      <c r="I101" s="169"/>
      <c r="J101" s="169">
        <v>2</v>
      </c>
      <c r="K101" s="319">
        <f t="shared" si="14"/>
        <v>2</v>
      </c>
      <c r="L101" s="329">
        <f t="shared" si="15"/>
        <v>5.0697084917617234E-4</v>
      </c>
      <c r="M101" s="804"/>
      <c r="O101" s="400" t="s">
        <v>315</v>
      </c>
      <c r="P101" s="434"/>
      <c r="Q101" s="435"/>
      <c r="R101" s="435"/>
      <c r="S101" s="435">
        <v>62</v>
      </c>
      <c r="T101" s="435">
        <v>285</v>
      </c>
      <c r="U101" s="436">
        <v>600</v>
      </c>
      <c r="V101" s="433">
        <v>947</v>
      </c>
      <c r="W101" s="801"/>
      <c r="AX101" s="494" t="s">
        <v>198</v>
      </c>
      <c r="AY101" s="500"/>
      <c r="AZ101" s="415"/>
      <c r="BA101" s="415"/>
      <c r="BB101" s="415"/>
      <c r="BC101" s="445">
        <v>2</v>
      </c>
      <c r="BD101" s="445"/>
      <c r="BE101" s="517"/>
      <c r="BF101" s="518">
        <v>2</v>
      </c>
      <c r="BG101" s="800">
        <f>BF100/BF22</f>
        <v>7.0484581497797362E-4</v>
      </c>
    </row>
    <row r="102" spans="1:59" ht="15" x14ac:dyDescent="0.25">
      <c r="A102" s="130" t="s">
        <v>289</v>
      </c>
      <c r="E102" s="201"/>
      <c r="H102" s="201"/>
      <c r="I102" s="169">
        <v>1</v>
      </c>
      <c r="J102" s="169">
        <v>1</v>
      </c>
      <c r="K102" s="319">
        <f t="shared" si="14"/>
        <v>2</v>
      </c>
      <c r="L102" s="329">
        <f t="shared" si="15"/>
        <v>5.0697084917617234E-4</v>
      </c>
      <c r="M102" s="804"/>
      <c r="O102" s="400" t="s">
        <v>310</v>
      </c>
      <c r="P102" s="434"/>
      <c r="Q102" s="435"/>
      <c r="R102" s="435"/>
      <c r="S102" s="435">
        <v>4</v>
      </c>
      <c r="T102" s="435">
        <v>335</v>
      </c>
      <c r="U102" s="436">
        <v>573</v>
      </c>
      <c r="V102" s="433">
        <v>912</v>
      </c>
      <c r="W102" s="801"/>
      <c r="AX102" s="492" t="s">
        <v>208</v>
      </c>
      <c r="AY102" s="497"/>
      <c r="AZ102" s="406"/>
      <c r="BA102" s="406"/>
      <c r="BB102" s="406"/>
      <c r="BC102" s="435">
        <v>1</v>
      </c>
      <c r="BD102" s="435"/>
      <c r="BE102" s="507"/>
      <c r="BF102" s="508">
        <v>1</v>
      </c>
      <c r="BG102" s="801"/>
    </row>
    <row r="103" spans="1:59" ht="15.75" thickBot="1" x14ac:dyDescent="0.3">
      <c r="A103" s="130" t="s">
        <v>301</v>
      </c>
      <c r="E103" s="201"/>
      <c r="H103" s="201"/>
      <c r="I103" s="169">
        <v>2</v>
      </c>
      <c r="J103" s="169"/>
      <c r="K103" s="319">
        <f t="shared" si="14"/>
        <v>2</v>
      </c>
      <c r="L103" s="330">
        <f t="shared" si="15"/>
        <v>5.0697084917617234E-4</v>
      </c>
      <c r="M103" s="811"/>
      <c r="O103" s="400" t="s">
        <v>317</v>
      </c>
      <c r="P103" s="434"/>
      <c r="Q103" s="435"/>
      <c r="R103" s="435"/>
      <c r="S103" s="435">
        <v>18</v>
      </c>
      <c r="T103" s="435">
        <v>241</v>
      </c>
      <c r="U103" s="436">
        <v>641</v>
      </c>
      <c r="V103" s="433">
        <v>900</v>
      </c>
      <c r="W103" s="801"/>
      <c r="AX103" s="493" t="s">
        <v>201</v>
      </c>
      <c r="AY103" s="498"/>
      <c r="AZ103" s="409"/>
      <c r="BA103" s="409"/>
      <c r="BB103" s="409"/>
      <c r="BC103" s="438">
        <v>1</v>
      </c>
      <c r="BD103" s="438"/>
      <c r="BE103" s="509"/>
      <c r="BF103" s="510">
        <v>1</v>
      </c>
      <c r="BG103" s="802"/>
    </row>
    <row r="104" spans="1:59" ht="16.5" thickTop="1" thickBot="1" x14ac:dyDescent="0.3">
      <c r="A104" s="331" t="s">
        <v>216</v>
      </c>
      <c r="B104" s="332">
        <f>SUM(B105:B113)</f>
        <v>0</v>
      </c>
      <c r="C104" s="332">
        <f t="shared" ref="C104:J104" si="16">SUM(C105:C113)</f>
        <v>0</v>
      </c>
      <c r="D104" s="332">
        <f t="shared" si="16"/>
        <v>0</v>
      </c>
      <c r="E104" s="332">
        <f t="shared" si="16"/>
        <v>0</v>
      </c>
      <c r="F104" s="332">
        <f t="shared" si="16"/>
        <v>0</v>
      </c>
      <c r="G104" s="332">
        <f t="shared" si="16"/>
        <v>0</v>
      </c>
      <c r="H104" s="332">
        <f t="shared" si="16"/>
        <v>87</v>
      </c>
      <c r="I104" s="332">
        <f t="shared" si="16"/>
        <v>333</v>
      </c>
      <c r="J104" s="332">
        <f t="shared" si="16"/>
        <v>1005</v>
      </c>
      <c r="K104" s="334">
        <f>SUM(K105:K113)</f>
        <v>1425</v>
      </c>
      <c r="M104" s="260"/>
      <c r="O104" s="400" t="s">
        <v>287</v>
      </c>
      <c r="P104" s="434"/>
      <c r="Q104" s="435"/>
      <c r="R104" s="435"/>
      <c r="S104" s="435">
        <v>6</v>
      </c>
      <c r="T104" s="435">
        <v>197</v>
      </c>
      <c r="U104" s="436">
        <v>525</v>
      </c>
      <c r="V104" s="433">
        <v>728</v>
      </c>
      <c r="W104" s="801"/>
      <c r="AX104" s="490" t="s">
        <v>310</v>
      </c>
      <c r="AY104" s="495"/>
      <c r="AZ104" s="411"/>
      <c r="BA104" s="411"/>
      <c r="BB104" s="411"/>
      <c r="BC104" s="511">
        <v>1</v>
      </c>
      <c r="BD104" s="511"/>
      <c r="BE104" s="512">
        <v>2</v>
      </c>
      <c r="BF104" s="513">
        <v>3</v>
      </c>
      <c r="BG104" s="537"/>
    </row>
    <row r="105" spans="1:59" ht="15.75" thickTop="1" x14ac:dyDescent="0.25">
      <c r="A105" s="130" t="s">
        <v>319</v>
      </c>
      <c r="B105" s="201"/>
      <c r="C105" s="201"/>
      <c r="D105" s="169"/>
      <c r="E105" s="169"/>
      <c r="F105" s="169"/>
      <c r="G105" s="169"/>
      <c r="H105" s="169">
        <v>10</v>
      </c>
      <c r="I105" s="169">
        <v>156</v>
      </c>
      <c r="J105" s="170">
        <v>693</v>
      </c>
      <c r="K105" s="319">
        <f>SUM(H105:J105)</f>
        <v>859</v>
      </c>
      <c r="L105" s="328">
        <f>K105/$K$104</f>
        <v>0.60280701754385968</v>
      </c>
      <c r="M105" s="803">
        <f>K104/K114</f>
        <v>1.9800742006753094E-2</v>
      </c>
      <c r="O105" s="400" t="s">
        <v>285</v>
      </c>
      <c r="P105" s="434"/>
      <c r="Q105" s="435"/>
      <c r="R105" s="435"/>
      <c r="S105" s="435">
        <v>1</v>
      </c>
      <c r="T105" s="435">
        <v>346</v>
      </c>
      <c r="U105" s="436">
        <v>315</v>
      </c>
      <c r="V105" s="433">
        <v>662</v>
      </c>
      <c r="W105" s="801"/>
      <c r="AX105" s="494" t="s">
        <v>273</v>
      </c>
      <c r="AY105" s="500"/>
      <c r="AZ105" s="415"/>
      <c r="BA105" s="415"/>
      <c r="BB105" s="415"/>
      <c r="BC105" s="445"/>
      <c r="BD105" s="445"/>
      <c r="BE105" s="517">
        <v>2</v>
      </c>
      <c r="BF105" s="518">
        <v>2</v>
      </c>
      <c r="BG105" s="800">
        <f>BF104/BF22</f>
        <v>5.2863436123348013E-4</v>
      </c>
    </row>
    <row r="106" spans="1:59" ht="15.75" thickBot="1" x14ac:dyDescent="0.3">
      <c r="A106" s="130" t="s">
        <v>305</v>
      </c>
      <c r="B106" s="201"/>
      <c r="C106" s="201"/>
      <c r="D106" s="169"/>
      <c r="E106" s="169"/>
      <c r="F106" s="169"/>
      <c r="G106" s="169"/>
      <c r="H106" s="169">
        <v>52</v>
      </c>
      <c r="I106" s="169">
        <v>158</v>
      </c>
      <c r="J106" s="170">
        <v>199</v>
      </c>
      <c r="K106" s="319">
        <f t="shared" ref="K106:K113" si="17">SUM(H106:J106)</f>
        <v>409</v>
      </c>
      <c r="L106" s="329">
        <f t="shared" ref="L106:L113" si="18">K106/$K$104</f>
        <v>0.28701754385964912</v>
      </c>
      <c r="M106" s="804"/>
      <c r="O106" s="400" t="s">
        <v>312</v>
      </c>
      <c r="P106" s="434"/>
      <c r="Q106" s="435"/>
      <c r="R106" s="435"/>
      <c r="S106" s="435">
        <v>5</v>
      </c>
      <c r="T106" s="435">
        <v>126</v>
      </c>
      <c r="U106" s="436">
        <v>354</v>
      </c>
      <c r="V106" s="433">
        <v>485</v>
      </c>
      <c r="W106" s="801"/>
      <c r="AX106" s="493" t="s">
        <v>267</v>
      </c>
      <c r="AY106" s="498"/>
      <c r="AZ106" s="409"/>
      <c r="BA106" s="409"/>
      <c r="BB106" s="409"/>
      <c r="BC106" s="438">
        <v>1</v>
      </c>
      <c r="BD106" s="438"/>
      <c r="BE106" s="509"/>
      <c r="BF106" s="510">
        <v>1</v>
      </c>
      <c r="BG106" s="802"/>
    </row>
    <row r="107" spans="1:59" ht="16.5" thickTop="1" thickBot="1" x14ac:dyDescent="0.3">
      <c r="A107" s="130" t="s">
        <v>321</v>
      </c>
      <c r="B107" s="201"/>
      <c r="C107" s="201"/>
      <c r="D107" s="169"/>
      <c r="E107" s="169"/>
      <c r="F107" s="169"/>
      <c r="G107" s="169"/>
      <c r="H107" s="169">
        <v>16</v>
      </c>
      <c r="I107" s="169">
        <v>13</v>
      </c>
      <c r="J107" s="170">
        <v>32</v>
      </c>
      <c r="K107" s="319">
        <f t="shared" si="17"/>
        <v>61</v>
      </c>
      <c r="L107" s="329">
        <f t="shared" si="18"/>
        <v>4.2807017543859648E-2</v>
      </c>
      <c r="M107" s="804"/>
      <c r="O107" s="400" t="s">
        <v>330</v>
      </c>
      <c r="P107" s="434"/>
      <c r="Q107" s="435"/>
      <c r="R107" s="435"/>
      <c r="S107" s="435">
        <v>4</v>
      </c>
      <c r="T107" s="435">
        <v>78</v>
      </c>
      <c r="U107" s="436">
        <v>388</v>
      </c>
      <c r="V107" s="433">
        <v>470</v>
      </c>
      <c r="W107" s="801"/>
      <c r="AX107" s="490" t="s">
        <v>74</v>
      </c>
      <c r="AY107" s="502"/>
      <c r="AZ107" s="403"/>
      <c r="BA107" s="403"/>
      <c r="BB107" s="403"/>
      <c r="BC107" s="441">
        <v>287</v>
      </c>
      <c r="BD107" s="441">
        <v>1917</v>
      </c>
      <c r="BE107" s="503">
        <v>3471</v>
      </c>
      <c r="BF107" s="504">
        <v>5675</v>
      </c>
    </row>
    <row r="108" spans="1:59" ht="15.75" thickTop="1" x14ac:dyDescent="0.25">
      <c r="A108" s="130" t="s">
        <v>306</v>
      </c>
      <c r="B108" s="201"/>
      <c r="C108" s="201"/>
      <c r="D108" s="169"/>
      <c r="E108" s="169"/>
      <c r="F108" s="169"/>
      <c r="G108" s="169"/>
      <c r="H108" s="169">
        <v>1</v>
      </c>
      <c r="I108" s="169"/>
      <c r="J108" s="170">
        <v>50</v>
      </c>
      <c r="K108" s="319">
        <f t="shared" si="17"/>
        <v>51</v>
      </c>
      <c r="L108" s="329">
        <f t="shared" si="18"/>
        <v>3.5789473684210524E-2</v>
      </c>
      <c r="M108" s="804"/>
      <c r="O108" s="400" t="s">
        <v>303</v>
      </c>
      <c r="P108" s="434"/>
      <c r="Q108" s="435"/>
      <c r="R108" s="435"/>
      <c r="S108" s="435">
        <v>1</v>
      </c>
      <c r="T108" s="435">
        <v>169</v>
      </c>
      <c r="U108" s="436">
        <v>244</v>
      </c>
      <c r="V108" s="433">
        <v>414</v>
      </c>
      <c r="W108" s="801"/>
    </row>
    <row r="109" spans="1:59" ht="15" x14ac:dyDescent="0.25">
      <c r="A109" s="130" t="s">
        <v>318</v>
      </c>
      <c r="B109" s="201"/>
      <c r="C109" s="201"/>
      <c r="D109" s="169"/>
      <c r="E109" s="169"/>
      <c r="F109" s="169"/>
      <c r="G109" s="169"/>
      <c r="H109" s="169">
        <v>1</v>
      </c>
      <c r="I109" s="169"/>
      <c r="J109" s="170">
        <v>23</v>
      </c>
      <c r="K109" s="319">
        <f t="shared" si="17"/>
        <v>24</v>
      </c>
      <c r="L109" s="329">
        <f t="shared" si="18"/>
        <v>1.6842105263157894E-2</v>
      </c>
      <c r="M109" s="804"/>
      <c r="O109" s="400" t="s">
        <v>305</v>
      </c>
      <c r="P109" s="434"/>
      <c r="Q109" s="435"/>
      <c r="R109" s="435"/>
      <c r="S109" s="435">
        <v>1</v>
      </c>
      <c r="T109" s="435">
        <v>3</v>
      </c>
      <c r="U109" s="436">
        <v>406</v>
      </c>
      <c r="V109" s="433">
        <v>410</v>
      </c>
      <c r="W109" s="801"/>
    </row>
    <row r="110" spans="1:59" ht="15" x14ac:dyDescent="0.25">
      <c r="A110" s="130" t="s">
        <v>322</v>
      </c>
      <c r="B110" s="201"/>
      <c r="C110" s="201"/>
      <c r="D110" s="169"/>
      <c r="E110" s="169"/>
      <c r="F110" s="169"/>
      <c r="G110" s="169"/>
      <c r="H110" s="169">
        <v>7</v>
      </c>
      <c r="I110" s="169"/>
      <c r="J110" s="170">
        <v>5</v>
      </c>
      <c r="K110" s="319">
        <f t="shared" si="17"/>
        <v>12</v>
      </c>
      <c r="L110" s="329">
        <f t="shared" si="18"/>
        <v>8.4210526315789472E-3</v>
      </c>
      <c r="M110" s="804"/>
      <c r="O110" s="400" t="s">
        <v>332</v>
      </c>
      <c r="P110" s="434"/>
      <c r="Q110" s="435"/>
      <c r="R110" s="435"/>
      <c r="S110" s="435">
        <v>2</v>
      </c>
      <c r="T110" s="435">
        <v>191</v>
      </c>
      <c r="U110" s="436">
        <v>179</v>
      </c>
      <c r="V110" s="433">
        <v>372</v>
      </c>
      <c r="W110" s="801"/>
    </row>
    <row r="111" spans="1:59" ht="15" x14ac:dyDescent="0.25">
      <c r="A111" s="130" t="s">
        <v>312</v>
      </c>
      <c r="B111" s="201"/>
      <c r="C111" s="201"/>
      <c r="D111" s="169"/>
      <c r="E111" s="169"/>
      <c r="F111" s="169"/>
      <c r="G111" s="169"/>
      <c r="H111" s="169"/>
      <c r="I111" s="169">
        <v>5</v>
      </c>
      <c r="J111" s="170">
        <v>2</v>
      </c>
      <c r="K111" s="319">
        <f t="shared" si="17"/>
        <v>7</v>
      </c>
      <c r="L111" s="329">
        <f t="shared" si="18"/>
        <v>4.9122807017543861E-3</v>
      </c>
      <c r="M111" s="804"/>
      <c r="O111" s="400" t="s">
        <v>318</v>
      </c>
      <c r="P111" s="434"/>
      <c r="Q111" s="435"/>
      <c r="R111" s="435"/>
      <c r="S111" s="435">
        <v>1</v>
      </c>
      <c r="T111" s="435">
        <v>166</v>
      </c>
      <c r="U111" s="436">
        <v>181</v>
      </c>
      <c r="V111" s="433">
        <v>348</v>
      </c>
      <c r="W111" s="801"/>
    </row>
    <row r="112" spans="1:59" ht="15" x14ac:dyDescent="0.25">
      <c r="A112" s="130" t="s">
        <v>284</v>
      </c>
      <c r="B112" s="201"/>
      <c r="C112" s="201"/>
      <c r="D112" s="169"/>
      <c r="E112" s="169"/>
      <c r="F112" s="169"/>
      <c r="G112" s="169"/>
      <c r="H112" s="169"/>
      <c r="I112" s="169"/>
      <c r="J112" s="170">
        <v>1</v>
      </c>
      <c r="K112" s="319">
        <f t="shared" si="17"/>
        <v>1</v>
      </c>
      <c r="L112" s="329">
        <f t="shared" si="18"/>
        <v>7.0175438596491223E-4</v>
      </c>
      <c r="M112" s="804"/>
      <c r="O112" s="400" t="s">
        <v>324</v>
      </c>
      <c r="P112" s="434"/>
      <c r="Q112" s="435"/>
      <c r="R112" s="435"/>
      <c r="S112" s="435">
        <v>14</v>
      </c>
      <c r="T112" s="435">
        <v>121</v>
      </c>
      <c r="U112" s="436">
        <v>137</v>
      </c>
      <c r="V112" s="433">
        <v>272</v>
      </c>
      <c r="W112" s="801"/>
    </row>
    <row r="113" spans="1:23" ht="15.75" thickBot="1" x14ac:dyDescent="0.3">
      <c r="A113" s="130" t="s">
        <v>292</v>
      </c>
      <c r="B113" s="201"/>
      <c r="C113" s="201"/>
      <c r="D113" s="169"/>
      <c r="E113" s="169"/>
      <c r="F113" s="169"/>
      <c r="G113" s="169"/>
      <c r="H113" s="169"/>
      <c r="I113" s="169">
        <v>1</v>
      </c>
      <c r="J113" s="170"/>
      <c r="K113" s="319">
        <f t="shared" si="17"/>
        <v>1</v>
      </c>
      <c r="L113" s="330">
        <f t="shared" si="18"/>
        <v>7.0175438596491223E-4</v>
      </c>
      <c r="M113" s="811"/>
      <c r="O113" s="400" t="s">
        <v>323</v>
      </c>
      <c r="P113" s="434"/>
      <c r="Q113" s="435"/>
      <c r="R113" s="435"/>
      <c r="S113" s="435">
        <v>12</v>
      </c>
      <c r="T113" s="435">
        <v>61</v>
      </c>
      <c r="U113" s="436">
        <v>158</v>
      </c>
      <c r="V113" s="433">
        <v>231</v>
      </c>
      <c r="W113" s="801"/>
    </row>
    <row r="114" spans="1:23" ht="20.25" thickTop="1" thickBot="1" x14ac:dyDescent="0.35">
      <c r="A114" s="331" t="s">
        <v>74</v>
      </c>
      <c r="B114" s="332"/>
      <c r="C114" s="332"/>
      <c r="D114" s="333"/>
      <c r="E114" s="333">
        <f>E104+E83+E73+E22</f>
        <v>1</v>
      </c>
      <c r="F114" s="333">
        <f t="shared" ref="F114:K114" si="19">F104+F83+F73+F22</f>
        <v>1</v>
      </c>
      <c r="G114" s="333">
        <f t="shared" si="19"/>
        <v>0</v>
      </c>
      <c r="H114" s="333">
        <f t="shared" si="19"/>
        <v>3719</v>
      </c>
      <c r="I114" s="333">
        <f t="shared" si="19"/>
        <v>26376</v>
      </c>
      <c r="J114" s="333">
        <f t="shared" si="19"/>
        <v>41870</v>
      </c>
      <c r="K114" s="333">
        <f t="shared" si="19"/>
        <v>71967</v>
      </c>
      <c r="L114" s="127"/>
      <c r="O114" s="400" t="s">
        <v>292</v>
      </c>
      <c r="P114" s="434"/>
      <c r="Q114" s="435"/>
      <c r="R114" s="435"/>
      <c r="S114" s="435">
        <v>11</v>
      </c>
      <c r="T114" s="435">
        <v>51</v>
      </c>
      <c r="U114" s="436">
        <v>134</v>
      </c>
      <c r="V114" s="433">
        <v>196</v>
      </c>
      <c r="W114" s="801"/>
    </row>
    <row r="115" spans="1:23" ht="19.5" thickTop="1" x14ac:dyDescent="0.3">
      <c r="O115" s="400" t="s">
        <v>298</v>
      </c>
      <c r="P115" s="434"/>
      <c r="Q115" s="435"/>
      <c r="R115" s="435"/>
      <c r="S115" s="435"/>
      <c r="T115" s="435">
        <v>45</v>
      </c>
      <c r="U115" s="436">
        <v>143</v>
      </c>
      <c r="V115" s="433">
        <v>188</v>
      </c>
      <c r="W115" s="801"/>
    </row>
    <row r="116" spans="1:23" x14ac:dyDescent="0.3">
      <c r="O116" s="400" t="s">
        <v>326</v>
      </c>
      <c r="P116" s="434"/>
      <c r="Q116" s="435"/>
      <c r="R116" s="435"/>
      <c r="S116" s="435">
        <v>1</v>
      </c>
      <c r="T116" s="435">
        <v>74</v>
      </c>
      <c r="U116" s="436">
        <v>92</v>
      </c>
      <c r="V116" s="433">
        <v>167</v>
      </c>
      <c r="W116" s="801"/>
    </row>
    <row r="117" spans="1:23" x14ac:dyDescent="0.3">
      <c r="O117" s="400" t="s">
        <v>306</v>
      </c>
      <c r="P117" s="434"/>
      <c r="Q117" s="435"/>
      <c r="R117" s="435"/>
      <c r="S117" s="435"/>
      <c r="T117" s="435"/>
      <c r="U117" s="436">
        <v>134</v>
      </c>
      <c r="V117" s="433">
        <v>134</v>
      </c>
      <c r="W117" s="801"/>
    </row>
    <row r="118" spans="1:23" x14ac:dyDescent="0.3">
      <c r="O118" s="400" t="s">
        <v>286</v>
      </c>
      <c r="P118" s="434"/>
      <c r="Q118" s="435"/>
      <c r="R118" s="435"/>
      <c r="S118" s="435"/>
      <c r="T118" s="435">
        <v>6</v>
      </c>
      <c r="U118" s="436">
        <v>121</v>
      </c>
      <c r="V118" s="433">
        <v>127</v>
      </c>
      <c r="W118" s="801"/>
    </row>
    <row r="119" spans="1:23" x14ac:dyDescent="0.3">
      <c r="O119" s="400" t="s">
        <v>294</v>
      </c>
      <c r="P119" s="434"/>
      <c r="Q119" s="435">
        <v>1</v>
      </c>
      <c r="R119" s="435"/>
      <c r="S119" s="435">
        <v>6</v>
      </c>
      <c r="T119" s="435">
        <v>74</v>
      </c>
      <c r="U119" s="436">
        <v>46</v>
      </c>
      <c r="V119" s="433">
        <v>127</v>
      </c>
      <c r="W119" s="801"/>
    </row>
    <row r="120" spans="1:23" x14ac:dyDescent="0.3">
      <c r="O120" s="400" t="s">
        <v>322</v>
      </c>
      <c r="P120" s="434"/>
      <c r="Q120" s="435"/>
      <c r="R120" s="435"/>
      <c r="S120" s="435">
        <v>1</v>
      </c>
      <c r="T120" s="435">
        <v>51</v>
      </c>
      <c r="U120" s="436">
        <v>70</v>
      </c>
      <c r="V120" s="433">
        <v>122</v>
      </c>
      <c r="W120" s="801"/>
    </row>
    <row r="121" spans="1:23" x14ac:dyDescent="0.3">
      <c r="O121" s="400" t="s">
        <v>313</v>
      </c>
      <c r="P121" s="434"/>
      <c r="Q121" s="435"/>
      <c r="R121" s="435"/>
      <c r="S121" s="435">
        <v>8</v>
      </c>
      <c r="T121" s="435">
        <v>53</v>
      </c>
      <c r="U121" s="436">
        <v>55</v>
      </c>
      <c r="V121" s="433">
        <v>116</v>
      </c>
      <c r="W121" s="801"/>
    </row>
    <row r="122" spans="1:23" x14ac:dyDescent="0.3">
      <c r="O122" s="400" t="s">
        <v>301</v>
      </c>
      <c r="P122" s="434"/>
      <c r="Q122" s="435"/>
      <c r="R122" s="435"/>
      <c r="S122" s="435"/>
      <c r="T122" s="435">
        <v>30</v>
      </c>
      <c r="U122" s="436">
        <v>75</v>
      </c>
      <c r="V122" s="433">
        <v>105</v>
      </c>
      <c r="W122" s="801"/>
    </row>
    <row r="123" spans="1:23" x14ac:dyDescent="0.3">
      <c r="O123" s="400" t="s">
        <v>311</v>
      </c>
      <c r="P123" s="434"/>
      <c r="Q123" s="435"/>
      <c r="R123" s="435"/>
      <c r="S123" s="435"/>
      <c r="T123" s="435">
        <v>12</v>
      </c>
      <c r="U123" s="436">
        <v>82</v>
      </c>
      <c r="V123" s="433">
        <v>94</v>
      </c>
      <c r="W123" s="801"/>
    </row>
    <row r="124" spans="1:23" x14ac:dyDescent="0.3">
      <c r="O124" s="400" t="s">
        <v>304</v>
      </c>
      <c r="P124" s="434"/>
      <c r="Q124" s="435"/>
      <c r="R124" s="435"/>
      <c r="S124" s="435">
        <v>1</v>
      </c>
      <c r="T124" s="435">
        <v>1</v>
      </c>
      <c r="U124" s="436">
        <v>73</v>
      </c>
      <c r="V124" s="433">
        <v>75</v>
      </c>
      <c r="W124" s="801"/>
    </row>
    <row r="125" spans="1:23" x14ac:dyDescent="0.3">
      <c r="O125" s="400" t="s">
        <v>333</v>
      </c>
      <c r="P125" s="434"/>
      <c r="Q125" s="435"/>
      <c r="R125" s="435"/>
      <c r="S125" s="435"/>
      <c r="T125" s="435">
        <v>6</v>
      </c>
      <c r="U125" s="436">
        <v>68</v>
      </c>
      <c r="V125" s="433">
        <v>74</v>
      </c>
      <c r="W125" s="801"/>
    </row>
    <row r="126" spans="1:23" x14ac:dyDescent="0.3">
      <c r="O126" s="400" t="s">
        <v>299</v>
      </c>
      <c r="P126" s="434"/>
      <c r="Q126" s="435"/>
      <c r="R126" s="435"/>
      <c r="S126" s="435"/>
      <c r="T126" s="435">
        <v>8</v>
      </c>
      <c r="U126" s="436">
        <v>53</v>
      </c>
      <c r="V126" s="433">
        <v>61</v>
      </c>
      <c r="W126" s="801"/>
    </row>
    <row r="127" spans="1:23" x14ac:dyDescent="0.3">
      <c r="O127" s="400" t="s">
        <v>297</v>
      </c>
      <c r="P127" s="434"/>
      <c r="Q127" s="435"/>
      <c r="R127" s="435"/>
      <c r="S127" s="435"/>
      <c r="T127" s="435"/>
      <c r="U127" s="436">
        <v>43</v>
      </c>
      <c r="V127" s="433">
        <v>43</v>
      </c>
      <c r="W127" s="801"/>
    </row>
    <row r="128" spans="1:23" x14ac:dyDescent="0.3">
      <c r="O128" s="400" t="s">
        <v>290</v>
      </c>
      <c r="P128" s="434"/>
      <c r="Q128" s="435"/>
      <c r="R128" s="435"/>
      <c r="S128" s="435"/>
      <c r="T128" s="435">
        <v>11</v>
      </c>
      <c r="U128" s="436">
        <v>26</v>
      </c>
      <c r="V128" s="433">
        <v>37</v>
      </c>
      <c r="W128" s="801"/>
    </row>
    <row r="129" spans="15:23" x14ac:dyDescent="0.3">
      <c r="O129" s="400" t="s">
        <v>314</v>
      </c>
      <c r="P129" s="434"/>
      <c r="Q129" s="435"/>
      <c r="R129" s="435"/>
      <c r="S129" s="435">
        <v>3</v>
      </c>
      <c r="T129" s="435">
        <v>1</v>
      </c>
      <c r="U129" s="436">
        <v>28</v>
      </c>
      <c r="V129" s="433">
        <v>32</v>
      </c>
      <c r="W129" s="801"/>
    </row>
    <row r="130" spans="15:23" x14ac:dyDescent="0.3">
      <c r="O130" s="400" t="s">
        <v>302</v>
      </c>
      <c r="P130" s="434"/>
      <c r="Q130" s="435"/>
      <c r="R130" s="435"/>
      <c r="S130" s="435"/>
      <c r="T130" s="435">
        <v>5</v>
      </c>
      <c r="U130" s="436">
        <v>21</v>
      </c>
      <c r="V130" s="433">
        <v>26</v>
      </c>
      <c r="W130" s="801"/>
    </row>
    <row r="131" spans="15:23" x14ac:dyDescent="0.3">
      <c r="O131" s="400" t="s">
        <v>384</v>
      </c>
      <c r="P131" s="434"/>
      <c r="Q131" s="435"/>
      <c r="R131" s="435"/>
      <c r="S131" s="435"/>
      <c r="T131" s="435"/>
      <c r="U131" s="436">
        <v>20</v>
      </c>
      <c r="V131" s="433">
        <v>20</v>
      </c>
      <c r="W131" s="801"/>
    </row>
    <row r="132" spans="15:23" x14ac:dyDescent="0.3">
      <c r="O132" s="400" t="s">
        <v>327</v>
      </c>
      <c r="P132" s="434"/>
      <c r="Q132" s="435"/>
      <c r="R132" s="435"/>
      <c r="S132" s="435"/>
      <c r="T132" s="435"/>
      <c r="U132" s="436">
        <v>19</v>
      </c>
      <c r="V132" s="433">
        <v>19</v>
      </c>
      <c r="W132" s="801"/>
    </row>
    <row r="133" spans="15:23" x14ac:dyDescent="0.3">
      <c r="O133" s="400" t="s">
        <v>295</v>
      </c>
      <c r="P133" s="434"/>
      <c r="Q133" s="435"/>
      <c r="R133" s="435"/>
      <c r="S133" s="435">
        <v>1</v>
      </c>
      <c r="T133" s="435">
        <v>2</v>
      </c>
      <c r="U133" s="436">
        <v>6</v>
      </c>
      <c r="V133" s="433">
        <v>9</v>
      </c>
      <c r="W133" s="801"/>
    </row>
    <row r="134" spans="15:23" x14ac:dyDescent="0.3">
      <c r="O134" s="400" t="s">
        <v>321</v>
      </c>
      <c r="P134" s="434"/>
      <c r="Q134" s="435"/>
      <c r="R134" s="435"/>
      <c r="S134" s="435">
        <v>5</v>
      </c>
      <c r="T134" s="435"/>
      <c r="U134" s="436">
        <v>1</v>
      </c>
      <c r="V134" s="433">
        <v>6</v>
      </c>
      <c r="W134" s="801"/>
    </row>
    <row r="135" spans="15:23" x14ac:dyDescent="0.3">
      <c r="O135" s="400" t="s">
        <v>308</v>
      </c>
      <c r="P135" s="434"/>
      <c r="Q135" s="435"/>
      <c r="R135" s="435"/>
      <c r="S135" s="435"/>
      <c r="T135" s="435">
        <v>1</v>
      </c>
      <c r="U135" s="436">
        <v>4</v>
      </c>
      <c r="V135" s="433">
        <v>5</v>
      </c>
      <c r="W135" s="801"/>
    </row>
    <row r="136" spans="15:23" x14ac:dyDescent="0.3">
      <c r="O136" s="400" t="s">
        <v>293</v>
      </c>
      <c r="P136" s="434"/>
      <c r="Q136" s="435"/>
      <c r="R136" s="435"/>
      <c r="S136" s="435"/>
      <c r="T136" s="435">
        <v>2</v>
      </c>
      <c r="U136" s="436">
        <v>2</v>
      </c>
      <c r="V136" s="433">
        <v>4</v>
      </c>
      <c r="W136" s="801"/>
    </row>
    <row r="137" spans="15:23" x14ac:dyDescent="0.3">
      <c r="O137" s="400" t="s">
        <v>300</v>
      </c>
      <c r="P137" s="434"/>
      <c r="Q137" s="435"/>
      <c r="R137" s="435"/>
      <c r="S137" s="435"/>
      <c r="T137" s="435">
        <v>2</v>
      </c>
      <c r="U137" s="436">
        <v>2</v>
      </c>
      <c r="V137" s="433">
        <v>4</v>
      </c>
      <c r="W137" s="801"/>
    </row>
    <row r="138" spans="15:23" x14ac:dyDescent="0.3">
      <c r="O138" s="400" t="s">
        <v>289</v>
      </c>
      <c r="P138" s="434"/>
      <c r="Q138" s="435"/>
      <c r="R138" s="435"/>
      <c r="S138" s="435"/>
      <c r="T138" s="435">
        <v>1</v>
      </c>
      <c r="U138" s="436">
        <v>2</v>
      </c>
      <c r="V138" s="433">
        <v>3</v>
      </c>
      <c r="W138" s="801"/>
    </row>
    <row r="139" spans="15:23" x14ac:dyDescent="0.3">
      <c r="O139" s="400" t="s">
        <v>319</v>
      </c>
      <c r="P139" s="434"/>
      <c r="Q139" s="435"/>
      <c r="R139" s="435"/>
      <c r="S139" s="435">
        <v>1</v>
      </c>
      <c r="T139" s="435"/>
      <c r="U139" s="436">
        <v>2</v>
      </c>
      <c r="V139" s="433">
        <v>3</v>
      </c>
      <c r="W139" s="801"/>
    </row>
    <row r="140" spans="15:23" x14ac:dyDescent="0.3">
      <c r="O140" s="400" t="s">
        <v>307</v>
      </c>
      <c r="P140" s="434"/>
      <c r="Q140" s="435"/>
      <c r="R140" s="435"/>
      <c r="S140" s="435"/>
      <c r="T140" s="435"/>
      <c r="U140" s="436">
        <v>2</v>
      </c>
      <c r="V140" s="433">
        <v>2</v>
      </c>
      <c r="W140" s="801"/>
    </row>
    <row r="141" spans="15:23" ht="19.5" thickBot="1" x14ac:dyDescent="0.35">
      <c r="O141" s="400" t="s">
        <v>328</v>
      </c>
      <c r="P141" s="437"/>
      <c r="Q141" s="438"/>
      <c r="R141" s="438"/>
      <c r="S141" s="438">
        <v>1</v>
      </c>
      <c r="T141" s="438"/>
      <c r="U141" s="439"/>
      <c r="V141" s="433">
        <v>1</v>
      </c>
      <c r="W141" s="802"/>
    </row>
    <row r="142" spans="15:23" ht="20.25" thickTop="1" thickBot="1" x14ac:dyDescent="0.35">
      <c r="O142" s="412" t="s">
        <v>74</v>
      </c>
      <c r="P142" s="440">
        <f>P96+P64+P23</f>
        <v>0</v>
      </c>
      <c r="Q142" s="441">
        <f t="shared" ref="Q142:U142" si="20">Q96+Q64+Q23</f>
        <v>1</v>
      </c>
      <c r="R142" s="441">
        <f t="shared" si="20"/>
        <v>0</v>
      </c>
      <c r="S142" s="441">
        <f t="shared" si="20"/>
        <v>3109</v>
      </c>
      <c r="T142" s="441">
        <f t="shared" si="20"/>
        <v>22797</v>
      </c>
      <c r="U142" s="442">
        <f t="shared" si="20"/>
        <v>35015</v>
      </c>
      <c r="V142" s="443">
        <f>V96+V64+V23</f>
        <v>60922</v>
      </c>
    </row>
    <row r="143" spans="15:23" ht="19.5" thickTop="1" x14ac:dyDescent="0.3"/>
  </sheetData>
  <mergeCells count="24">
    <mergeCell ref="BG105:BG106"/>
    <mergeCell ref="BG24:BG51"/>
    <mergeCell ref="BG57:BG83"/>
    <mergeCell ref="BG87:BG96"/>
    <mergeCell ref="BG98:BG99"/>
    <mergeCell ref="BG101:BG103"/>
    <mergeCell ref="M84:M103"/>
    <mergeCell ref="M105:M113"/>
    <mergeCell ref="W24:W63"/>
    <mergeCell ref="W65:W95"/>
    <mergeCell ref="W97:W141"/>
    <mergeCell ref="AJ23:AJ43"/>
    <mergeCell ref="M23:M72"/>
    <mergeCell ref="M74:M82"/>
    <mergeCell ref="AV34:AV35"/>
    <mergeCell ref="AV37:AV38"/>
    <mergeCell ref="AV40:AV42"/>
    <mergeCell ref="AV44:AV45"/>
    <mergeCell ref="AV24:AV32"/>
    <mergeCell ref="A6:K6"/>
    <mergeCell ref="O6:V6"/>
    <mergeCell ref="Y6:AI6"/>
    <mergeCell ref="AL6:AU6"/>
    <mergeCell ref="AX6:BF6"/>
  </mergeCells>
  <pageMargins left="0.7" right="0.7" top="0.75" bottom="0.75" header="0.3" footer="0.3"/>
  <pageSetup orientation="portrait" verticalDpi="0" r:id="rId1"/>
  <ignoredErrors>
    <ignoredError sqref="BG9 BG10:BG15 AV9:AV15 AJ9:AJ15 W11:W16 L9:L15 W9:W10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0E09D-4079-4DBD-A125-48D2801736F2}">
  <sheetPr>
    <tabColor rgb="FF92D050"/>
  </sheetPr>
  <dimension ref="A1:N63"/>
  <sheetViews>
    <sheetView zoomScale="50" zoomScaleNormal="50" workbookViewId="0">
      <selection sqref="A1:A4"/>
    </sheetView>
  </sheetViews>
  <sheetFormatPr baseColWidth="10" defaultRowHeight="12.75" x14ac:dyDescent="0.2"/>
  <cols>
    <col min="1" max="1" width="7.42578125" style="101" customWidth="1"/>
    <col min="2" max="2" width="32" style="101" customWidth="1"/>
    <col min="3" max="3" width="17.85546875" style="101" customWidth="1"/>
    <col min="4" max="4" width="19.85546875" style="101" customWidth="1"/>
    <col min="5" max="5" width="17.85546875" style="101" customWidth="1"/>
    <col min="6" max="6" width="16.85546875" style="101" customWidth="1"/>
    <col min="7" max="7" width="17.28515625" style="101" customWidth="1"/>
    <col min="8" max="8" width="19" style="101" customWidth="1"/>
    <col min="9" max="9" width="17.42578125" style="101" customWidth="1"/>
    <col min="10" max="10" width="19.42578125" style="101" customWidth="1"/>
    <col min="11" max="11" width="16.42578125" style="101" customWidth="1"/>
    <col min="12" max="12" width="14.5703125" style="101" customWidth="1"/>
    <col min="13" max="16384" width="11.42578125" style="101"/>
  </cols>
  <sheetData>
    <row r="1" spans="1:13" ht="15" x14ac:dyDescent="0.25">
      <c r="A1" s="2" t="s">
        <v>15</v>
      </c>
    </row>
    <row r="2" spans="1:13" ht="15" x14ac:dyDescent="0.25">
      <c r="A2" s="2" t="s">
        <v>16</v>
      </c>
    </row>
    <row r="3" spans="1:13" ht="15" x14ac:dyDescent="0.25">
      <c r="A3" s="2" t="s">
        <v>17</v>
      </c>
    </row>
    <row r="4" spans="1:13" ht="15" x14ac:dyDescent="0.25">
      <c r="A4" s="2" t="s">
        <v>18</v>
      </c>
    </row>
    <row r="6" spans="1:13" ht="15" x14ac:dyDescent="0.25">
      <c r="B6" s="638" t="s">
        <v>429</v>
      </c>
      <c r="C6" s="639"/>
      <c r="D6" s="4"/>
      <c r="E6" s="4"/>
      <c r="F6" s="4"/>
      <c r="G6" s="4"/>
      <c r="H6" s="4"/>
    </row>
    <row r="7" spans="1:13" ht="15.75" customHeight="1" x14ac:dyDescent="0.25">
      <c r="B7" s="4"/>
      <c r="C7" s="639"/>
      <c r="D7" s="4"/>
      <c r="E7" s="4"/>
      <c r="F7" s="4"/>
      <c r="G7" s="4"/>
      <c r="H7" s="4"/>
    </row>
    <row r="8" spans="1:13" ht="15" x14ac:dyDescent="0.25">
      <c r="B8" s="640" t="s">
        <v>430</v>
      </c>
      <c r="C8" s="639"/>
      <c r="D8" s="4"/>
      <c r="E8" s="4"/>
      <c r="F8" s="4"/>
      <c r="G8" s="4"/>
      <c r="H8" s="4"/>
    </row>
    <row r="9" spans="1:13" ht="45" customHeight="1" x14ac:dyDescent="0.25">
      <c r="B9" s="640"/>
      <c r="C9" s="641"/>
      <c r="D9" s="4"/>
      <c r="E9" s="4"/>
      <c r="F9" s="4"/>
      <c r="G9" s="4"/>
      <c r="H9" s="4"/>
    </row>
    <row r="10" spans="1:13" s="293" customFormat="1" ht="15" x14ac:dyDescent="0.25">
      <c r="A10" s="101"/>
      <c r="B10" s="638" t="s">
        <v>431</v>
      </c>
      <c r="C10" s="641"/>
      <c r="D10" s="4"/>
      <c r="E10" s="4"/>
      <c r="F10" s="4"/>
      <c r="G10" s="4"/>
      <c r="H10" s="4"/>
      <c r="I10" s="101"/>
      <c r="J10" s="101"/>
      <c r="K10" s="101"/>
      <c r="L10" s="101"/>
      <c r="M10" s="101"/>
    </row>
    <row r="11" spans="1:13" s="293" customFormat="1" ht="15.75" thickBot="1" x14ac:dyDescent="0.3">
      <c r="A11" s="101"/>
      <c r="B11" s="4"/>
      <c r="C11" s="642"/>
      <c r="D11" s="4"/>
      <c r="E11" s="4"/>
      <c r="F11" s="4"/>
      <c r="G11" s="4"/>
      <c r="H11" s="4"/>
      <c r="I11" s="101"/>
      <c r="J11" s="101"/>
      <c r="K11" s="101"/>
      <c r="L11" s="101"/>
      <c r="M11" s="101"/>
    </row>
    <row r="12" spans="1:13" s="293" customFormat="1" ht="15.75" thickBot="1" x14ac:dyDescent="0.25">
      <c r="A12" s="101"/>
      <c r="B12" s="818" t="s">
        <v>432</v>
      </c>
      <c r="C12" s="819"/>
      <c r="D12" s="819"/>
      <c r="E12" s="819"/>
      <c r="F12" s="819"/>
      <c r="G12" s="819"/>
      <c r="H12" s="820"/>
      <c r="I12" s="101"/>
      <c r="J12" s="101"/>
      <c r="K12" s="101"/>
      <c r="L12" s="101"/>
      <c r="M12" s="101"/>
    </row>
    <row r="13" spans="1:13" s="293" customFormat="1" ht="15" x14ac:dyDescent="0.25">
      <c r="A13" s="101"/>
      <c r="B13" s="4"/>
      <c r="C13" s="643"/>
      <c r="D13" s="4"/>
      <c r="E13" s="4"/>
      <c r="F13" s="4"/>
      <c r="G13" s="4"/>
      <c r="H13" s="101"/>
      <c r="I13" s="4"/>
      <c r="J13" s="101"/>
      <c r="K13" s="101"/>
      <c r="L13" s="101"/>
      <c r="M13" s="101"/>
    </row>
    <row r="14" spans="1:13" s="293" customFormat="1" ht="30" x14ac:dyDescent="0.25">
      <c r="A14" s="101"/>
      <c r="B14" s="821"/>
      <c r="C14" s="822"/>
      <c r="D14" s="644" t="s">
        <v>13</v>
      </c>
      <c r="E14" s="644" t="s">
        <v>12</v>
      </c>
      <c r="F14" s="644" t="s">
        <v>11</v>
      </c>
      <c r="G14" s="644" t="s">
        <v>10</v>
      </c>
      <c r="H14" s="644" t="s">
        <v>435</v>
      </c>
      <c r="I14" s="645" t="s">
        <v>33</v>
      </c>
      <c r="J14" s="101"/>
      <c r="K14" s="101"/>
      <c r="L14" s="101"/>
      <c r="M14" s="101"/>
    </row>
    <row r="15" spans="1:13" s="293" customFormat="1" ht="15" customHeight="1" x14ac:dyDescent="0.2">
      <c r="B15" s="823">
        <v>2013</v>
      </c>
      <c r="C15" s="824"/>
      <c r="D15" s="646"/>
      <c r="E15" s="646">
        <v>2</v>
      </c>
      <c r="F15" s="647"/>
      <c r="G15" s="646">
        <v>1</v>
      </c>
      <c r="H15" s="647"/>
      <c r="I15" s="648">
        <f>SUM(D15:H15)</f>
        <v>3</v>
      </c>
    </row>
    <row r="16" spans="1:13" s="293" customFormat="1" ht="15" customHeight="1" x14ac:dyDescent="0.2">
      <c r="B16" s="823">
        <v>2014</v>
      </c>
      <c r="C16" s="824"/>
      <c r="D16" s="646"/>
      <c r="E16" s="646">
        <v>8</v>
      </c>
      <c r="F16" s="647"/>
      <c r="G16" s="646">
        <v>4</v>
      </c>
      <c r="H16" s="647"/>
      <c r="I16" s="648">
        <f t="shared" ref="I16:I20" si="0">SUM(D16:H16)</f>
        <v>12</v>
      </c>
    </row>
    <row r="17" spans="1:14" s="293" customFormat="1" ht="15" x14ac:dyDescent="0.2">
      <c r="B17" s="823">
        <v>2015</v>
      </c>
      <c r="C17" s="824"/>
      <c r="D17" s="646">
        <v>216</v>
      </c>
      <c r="E17" s="646">
        <v>655</v>
      </c>
      <c r="F17" s="647">
        <v>190</v>
      </c>
      <c r="G17" s="646">
        <v>4</v>
      </c>
      <c r="H17" s="647">
        <v>1</v>
      </c>
      <c r="I17" s="649">
        <f t="shared" si="0"/>
        <v>1066</v>
      </c>
    </row>
    <row r="18" spans="1:14" s="293" customFormat="1" ht="15" x14ac:dyDescent="0.2">
      <c r="B18" s="812">
        <v>2016</v>
      </c>
      <c r="C18" s="813"/>
      <c r="D18" s="650">
        <v>572</v>
      </c>
      <c r="E18" s="650">
        <v>966</v>
      </c>
      <c r="F18" s="651">
        <v>358</v>
      </c>
      <c r="G18" s="646">
        <v>126</v>
      </c>
      <c r="H18" s="651">
        <v>15</v>
      </c>
      <c r="I18" s="652">
        <f t="shared" si="0"/>
        <v>2037</v>
      </c>
    </row>
    <row r="19" spans="1:14" s="293" customFormat="1" ht="15" x14ac:dyDescent="0.2">
      <c r="B19" s="812">
        <v>2017</v>
      </c>
      <c r="C19" s="813"/>
      <c r="D19" s="650">
        <v>728</v>
      </c>
      <c r="E19" s="650">
        <v>1996</v>
      </c>
      <c r="F19" s="651">
        <v>920</v>
      </c>
      <c r="G19" s="650">
        <v>308</v>
      </c>
      <c r="H19" s="651">
        <v>10</v>
      </c>
      <c r="I19" s="652">
        <f t="shared" si="0"/>
        <v>3962</v>
      </c>
    </row>
    <row r="20" spans="1:14" s="293" customFormat="1" ht="15" x14ac:dyDescent="0.2">
      <c r="B20" s="814" t="s">
        <v>433</v>
      </c>
      <c r="C20" s="815"/>
      <c r="D20" s="653">
        <f>SUM(D15:D19)</f>
        <v>1516</v>
      </c>
      <c r="E20" s="653">
        <f>SUM(E15:E19)</f>
        <v>3627</v>
      </c>
      <c r="F20" s="653">
        <f>SUM(F15:F19)</f>
        <v>1468</v>
      </c>
      <c r="G20" s="653">
        <f>SUM(G15:G19)</f>
        <v>443</v>
      </c>
      <c r="H20" s="653">
        <v>26</v>
      </c>
      <c r="I20" s="653">
        <f t="shared" si="0"/>
        <v>7080</v>
      </c>
      <c r="N20" s="590"/>
    </row>
    <row r="21" spans="1:14" s="293" customFormat="1" ht="15" x14ac:dyDescent="0.2">
      <c r="B21" s="816" t="s">
        <v>434</v>
      </c>
      <c r="C21" s="817"/>
      <c r="D21" s="654">
        <f>SUM(D15:D17)</f>
        <v>216</v>
      </c>
      <c r="E21" s="654">
        <f t="shared" ref="E21:H21" si="1">SUM(E15:E17)</f>
        <v>665</v>
      </c>
      <c r="F21" s="654">
        <f t="shared" si="1"/>
        <v>190</v>
      </c>
      <c r="G21" s="654">
        <f t="shared" si="1"/>
        <v>9</v>
      </c>
      <c r="H21" s="654">
        <f t="shared" si="1"/>
        <v>1</v>
      </c>
      <c r="I21" s="654">
        <f>SUM(I15:I17)</f>
        <v>1081</v>
      </c>
      <c r="N21" s="590"/>
    </row>
    <row r="22" spans="1:14" x14ac:dyDescent="0.2">
      <c r="A22" s="293"/>
      <c r="B22" s="591"/>
      <c r="C22" s="590"/>
      <c r="D22" s="293"/>
      <c r="E22" s="293"/>
      <c r="F22" s="293"/>
      <c r="G22" s="293"/>
      <c r="H22" s="293"/>
      <c r="I22" s="293"/>
      <c r="J22" s="293"/>
      <c r="K22" s="293"/>
      <c r="L22" s="293"/>
      <c r="M22" s="293"/>
    </row>
    <row r="23" spans="1:14" x14ac:dyDescent="0.2">
      <c r="A23" s="293"/>
      <c r="B23" s="591"/>
      <c r="C23" s="590"/>
      <c r="D23" s="293"/>
      <c r="E23" s="293"/>
      <c r="F23" s="293"/>
      <c r="G23" s="293"/>
      <c r="H23" s="293"/>
      <c r="I23" s="293"/>
      <c r="J23" s="293"/>
      <c r="K23" s="293"/>
      <c r="L23" s="293"/>
      <c r="M23" s="293"/>
    </row>
    <row r="24" spans="1:14" x14ac:dyDescent="0.2">
      <c r="A24" s="293"/>
      <c r="B24" s="591"/>
      <c r="C24" s="590"/>
      <c r="D24" s="293"/>
      <c r="E24" s="293"/>
      <c r="F24" s="293"/>
      <c r="G24" s="293"/>
      <c r="H24" s="293"/>
      <c r="I24" s="293"/>
      <c r="J24" s="293"/>
      <c r="K24" s="293"/>
      <c r="L24" s="293"/>
      <c r="M24" s="293"/>
      <c r="N24" s="102"/>
    </row>
    <row r="25" spans="1:14" ht="15" x14ac:dyDescent="0.25">
      <c r="A25" s="293"/>
      <c r="B25" s="579" t="s">
        <v>396</v>
      </c>
      <c r="M25" s="591"/>
      <c r="N25" s="102"/>
    </row>
    <row r="26" spans="1:14" x14ac:dyDescent="0.2">
      <c r="A26" s="293"/>
      <c r="B26" s="825" t="s">
        <v>397</v>
      </c>
      <c r="C26" s="825"/>
      <c r="D26" s="825"/>
      <c r="E26" s="825"/>
      <c r="F26" s="99"/>
      <c r="G26" s="100"/>
      <c r="I26" s="99"/>
      <c r="J26" s="102"/>
      <c r="K26" s="102"/>
      <c r="L26" s="100"/>
      <c r="M26" s="591"/>
      <c r="N26" s="102"/>
    </row>
    <row r="27" spans="1:14" ht="51" x14ac:dyDescent="0.2">
      <c r="B27" s="103" t="s">
        <v>25</v>
      </c>
      <c r="C27" s="103" t="s">
        <v>26</v>
      </c>
      <c r="D27" s="103" t="s">
        <v>27</v>
      </c>
      <c r="E27" s="580" t="s">
        <v>185</v>
      </c>
      <c r="F27" s="580" t="s">
        <v>398</v>
      </c>
      <c r="G27" s="580" t="s">
        <v>399</v>
      </c>
      <c r="H27" s="581" t="s">
        <v>400</v>
      </c>
      <c r="I27" s="581" t="s">
        <v>401</v>
      </c>
      <c r="J27" s="581" t="s">
        <v>402</v>
      </c>
      <c r="K27" s="102"/>
      <c r="L27" s="588"/>
      <c r="N27" s="102"/>
    </row>
    <row r="28" spans="1:14" x14ac:dyDescent="0.2">
      <c r="B28" s="104" t="s">
        <v>29</v>
      </c>
      <c r="C28" s="105">
        <v>7080</v>
      </c>
      <c r="D28" s="105">
        <v>1080</v>
      </c>
      <c r="E28" s="106">
        <f t="shared" ref="E28:E32" si="2">($D28*70)/100</f>
        <v>756</v>
      </c>
      <c r="F28" s="105">
        <v>911</v>
      </c>
      <c r="G28" s="213">
        <f>$F28/$D28</f>
        <v>0.84351851851851856</v>
      </c>
      <c r="H28" s="106">
        <v>1080</v>
      </c>
      <c r="I28" s="105">
        <v>989</v>
      </c>
      <c r="J28" s="213">
        <f>$I28/$H28</f>
        <v>0.91574074074074074</v>
      </c>
      <c r="K28" s="102"/>
      <c r="L28" s="589"/>
      <c r="N28" s="102"/>
    </row>
    <row r="29" spans="1:14" x14ac:dyDescent="0.2">
      <c r="B29" s="108" t="s">
        <v>30</v>
      </c>
      <c r="C29" s="108">
        <v>1516</v>
      </c>
      <c r="D29" s="109">
        <v>216</v>
      </c>
      <c r="E29" s="110">
        <f t="shared" si="2"/>
        <v>151.19999999999999</v>
      </c>
      <c r="F29" s="110">
        <v>157</v>
      </c>
      <c r="G29" s="290">
        <f t="shared" ref="G29:G31" si="3">$F29/$D29</f>
        <v>0.72685185185185186</v>
      </c>
      <c r="H29" s="110">
        <v>216</v>
      </c>
      <c r="I29" s="110">
        <v>205</v>
      </c>
      <c r="J29" s="582">
        <f>$I29/$H29</f>
        <v>0.94907407407407407</v>
      </c>
      <c r="K29" s="102"/>
      <c r="L29" s="591"/>
      <c r="M29" s="99"/>
      <c r="N29" s="102"/>
    </row>
    <row r="30" spans="1:14" x14ac:dyDescent="0.2">
      <c r="B30" s="108" t="s">
        <v>12</v>
      </c>
      <c r="C30" s="108">
        <v>3627</v>
      </c>
      <c r="D30" s="109">
        <v>665</v>
      </c>
      <c r="E30" s="110">
        <f t="shared" si="2"/>
        <v>465.5</v>
      </c>
      <c r="F30" s="110">
        <v>515</v>
      </c>
      <c r="G30" s="214">
        <f t="shared" si="3"/>
        <v>0.77443609022556392</v>
      </c>
      <c r="H30" s="110">
        <v>665</v>
      </c>
      <c r="I30" s="110">
        <v>528</v>
      </c>
      <c r="J30" s="583">
        <f>$I30/$H30</f>
        <v>0.79398496240601502</v>
      </c>
      <c r="K30" s="102"/>
      <c r="L30" s="591"/>
      <c r="M30" s="585"/>
      <c r="N30" s="102"/>
    </row>
    <row r="31" spans="1:14" x14ac:dyDescent="0.2">
      <c r="B31" s="108" t="s">
        <v>11</v>
      </c>
      <c r="C31" s="108">
        <v>1468</v>
      </c>
      <c r="D31" s="109">
        <v>190</v>
      </c>
      <c r="E31" s="110">
        <f t="shared" si="2"/>
        <v>133</v>
      </c>
      <c r="F31" s="110">
        <v>232</v>
      </c>
      <c r="G31" s="214">
        <f t="shared" si="3"/>
        <v>1.2210526315789474</v>
      </c>
      <c r="H31" s="110">
        <v>190</v>
      </c>
      <c r="I31" s="110">
        <v>249</v>
      </c>
      <c r="J31" s="583">
        <f>$I31/$H31</f>
        <v>1.3105263157894738</v>
      </c>
      <c r="K31" s="102"/>
      <c r="L31" s="591"/>
      <c r="M31" s="592"/>
      <c r="N31" s="102"/>
    </row>
    <row r="32" spans="1:14" x14ac:dyDescent="0.2">
      <c r="B32" s="108" t="s">
        <v>10</v>
      </c>
      <c r="C32" s="108">
        <v>443</v>
      </c>
      <c r="D32" s="109">
        <v>9</v>
      </c>
      <c r="E32" s="110">
        <f t="shared" si="2"/>
        <v>6.3</v>
      </c>
      <c r="F32" s="110">
        <v>7</v>
      </c>
      <c r="G32" s="214">
        <f>$F32/$D32</f>
        <v>0.77777777777777779</v>
      </c>
      <c r="H32" s="110">
        <v>9</v>
      </c>
      <c r="I32" s="110">
        <v>7</v>
      </c>
      <c r="J32" s="583">
        <f>$I32/$H32</f>
        <v>0.77777777777777779</v>
      </c>
      <c r="K32" s="102"/>
      <c r="L32" s="591"/>
      <c r="M32" s="592"/>
      <c r="N32" s="102"/>
    </row>
    <row r="33" spans="2:13" x14ac:dyDescent="0.2">
      <c r="B33" s="291"/>
      <c r="C33" s="291"/>
      <c r="D33" s="107"/>
      <c r="E33" s="111"/>
      <c r="F33" s="111"/>
      <c r="G33" s="292"/>
      <c r="H33" s="293"/>
      <c r="I33" s="111"/>
      <c r="J33" s="102"/>
      <c r="K33" s="102"/>
      <c r="L33" s="591"/>
      <c r="M33" s="592"/>
    </row>
    <row r="34" spans="2:13" x14ac:dyDescent="0.2">
      <c r="B34" s="291"/>
      <c r="C34" s="291"/>
      <c r="D34" s="107"/>
      <c r="E34" s="111"/>
      <c r="F34" s="111"/>
      <c r="G34" s="292"/>
      <c r="H34" s="293"/>
      <c r="I34" s="111"/>
      <c r="J34" s="102"/>
      <c r="K34" s="102"/>
      <c r="L34" s="591"/>
      <c r="M34" s="592"/>
    </row>
    <row r="35" spans="2:13" ht="31.5" x14ac:dyDescent="0.2">
      <c r="B35" s="576" t="s">
        <v>352</v>
      </c>
      <c r="F35" s="111"/>
      <c r="G35" s="292"/>
      <c r="H35" s="293"/>
      <c r="I35" s="111"/>
      <c r="J35" s="102"/>
      <c r="K35" s="102"/>
      <c r="L35" s="591"/>
      <c r="M35" s="592"/>
    </row>
    <row r="36" spans="2:13" ht="76.5" x14ac:dyDescent="0.2">
      <c r="B36" s="112" t="s">
        <v>25</v>
      </c>
      <c r="C36" s="112" t="s">
        <v>353</v>
      </c>
      <c r="D36" s="112" t="s">
        <v>354</v>
      </c>
      <c r="E36" s="575" t="s">
        <v>355</v>
      </c>
      <c r="F36" s="111"/>
      <c r="G36" s="292"/>
      <c r="H36" s="293"/>
      <c r="I36" s="111"/>
      <c r="J36" s="102"/>
      <c r="K36" s="102"/>
      <c r="L36" s="591"/>
      <c r="M36" s="592"/>
    </row>
    <row r="37" spans="2:13" x14ac:dyDescent="0.2">
      <c r="B37" s="114" t="s">
        <v>29</v>
      </c>
      <c r="C37" s="115">
        <v>1395</v>
      </c>
      <c r="D37" s="116">
        <v>555</v>
      </c>
      <c r="E37" s="584">
        <f>$D37/$C37</f>
        <v>0.39784946236559138</v>
      </c>
      <c r="F37" s="111"/>
      <c r="G37" s="292"/>
      <c r="H37" s="293"/>
      <c r="I37" s="111"/>
      <c r="J37" s="102"/>
      <c r="K37" s="102"/>
      <c r="L37" s="591"/>
      <c r="M37" s="102"/>
    </row>
    <row r="38" spans="2:13" x14ac:dyDescent="0.2">
      <c r="B38" s="118" t="s">
        <v>30</v>
      </c>
      <c r="C38" s="108">
        <f>370+2</f>
        <v>372</v>
      </c>
      <c r="D38" s="110">
        <v>187</v>
      </c>
      <c r="E38" s="294">
        <f t="shared" ref="E38:E42" si="4">$D38/$C38</f>
        <v>0.50268817204301075</v>
      </c>
      <c r="F38" s="111"/>
      <c r="G38" s="292"/>
      <c r="H38" s="293"/>
      <c r="I38" s="111"/>
      <c r="J38" s="102"/>
      <c r="K38" s="102"/>
      <c r="L38" s="591"/>
    </row>
    <row r="39" spans="2:13" x14ac:dyDescent="0.2">
      <c r="B39" s="118" t="s">
        <v>12</v>
      </c>
      <c r="C39" s="108">
        <v>735</v>
      </c>
      <c r="D39" s="110">
        <v>225</v>
      </c>
      <c r="E39" s="294">
        <f t="shared" si="4"/>
        <v>0.30612244897959184</v>
      </c>
      <c r="F39" s="111"/>
      <c r="G39" s="292"/>
      <c r="H39" s="293"/>
      <c r="I39" s="111"/>
      <c r="J39" s="102"/>
      <c r="K39" s="102"/>
      <c r="L39" s="591"/>
    </row>
    <row r="40" spans="2:13" x14ac:dyDescent="0.2">
      <c r="B40" s="118" t="s">
        <v>11</v>
      </c>
      <c r="C40" s="108">
        <v>247</v>
      </c>
      <c r="D40" s="110">
        <v>141</v>
      </c>
      <c r="E40" s="294">
        <f t="shared" si="4"/>
        <v>0.57085020242914974</v>
      </c>
      <c r="F40" s="111"/>
      <c r="G40" s="292"/>
      <c r="H40" s="293"/>
      <c r="I40" s="111"/>
      <c r="J40" s="102"/>
      <c r="K40" s="102"/>
      <c r="L40" s="591"/>
    </row>
    <row r="41" spans="2:13" x14ac:dyDescent="0.2">
      <c r="B41" s="118" t="s">
        <v>10</v>
      </c>
      <c r="C41" s="108">
        <f>34+7</f>
        <v>41</v>
      </c>
      <c r="D41" s="110">
        <v>2</v>
      </c>
      <c r="E41" s="294">
        <f t="shared" si="4"/>
        <v>4.878048780487805E-2</v>
      </c>
      <c r="F41" s="111"/>
      <c r="G41" s="292"/>
      <c r="H41" s="293"/>
      <c r="I41" s="111"/>
      <c r="J41" s="102"/>
      <c r="K41" s="102"/>
      <c r="L41" s="591"/>
    </row>
    <row r="42" spans="2:13" x14ac:dyDescent="0.2">
      <c r="B42" s="295" t="s">
        <v>31</v>
      </c>
      <c r="C42" s="296">
        <v>9</v>
      </c>
      <c r="D42" s="297">
        <v>0</v>
      </c>
      <c r="E42" s="298">
        <f t="shared" si="4"/>
        <v>0</v>
      </c>
      <c r="F42" s="111"/>
      <c r="G42" s="292"/>
      <c r="H42" s="293"/>
      <c r="I42" s="111"/>
      <c r="J42" s="102"/>
      <c r="K42" s="102"/>
      <c r="L42" s="591"/>
    </row>
    <row r="43" spans="2:13" x14ac:dyDescent="0.2">
      <c r="F43" s="111"/>
      <c r="G43" s="292"/>
      <c r="H43" s="293"/>
      <c r="I43" s="111"/>
      <c r="J43" s="102"/>
      <c r="K43" s="102"/>
      <c r="L43" s="591"/>
    </row>
    <row r="44" spans="2:13" x14ac:dyDescent="0.2">
      <c r="B44" s="826" t="s">
        <v>356</v>
      </c>
      <c r="C44" s="826"/>
      <c r="D44" s="826"/>
      <c r="F44" s="111"/>
      <c r="G44" s="292"/>
      <c r="H44" s="293"/>
      <c r="I44" s="111"/>
      <c r="J44" s="102"/>
      <c r="K44" s="102"/>
      <c r="L44" s="591"/>
    </row>
    <row r="45" spans="2:13" x14ac:dyDescent="0.2">
      <c r="F45" s="111"/>
      <c r="G45" s="292"/>
      <c r="H45" s="293"/>
      <c r="I45" s="111"/>
      <c r="J45" s="102"/>
      <c r="K45" s="102"/>
      <c r="L45" s="591"/>
    </row>
    <row r="47" spans="2:13" ht="31.5" x14ac:dyDescent="0.2">
      <c r="B47" s="576" t="s">
        <v>342</v>
      </c>
    </row>
    <row r="48" spans="2:13" ht="15" x14ac:dyDescent="0.2">
      <c r="B48" s="827" t="s">
        <v>403</v>
      </c>
      <c r="C48" s="828"/>
      <c r="D48" s="829"/>
      <c r="E48" s="830" t="s">
        <v>181</v>
      </c>
      <c r="F48" s="831"/>
      <c r="G48" s="831"/>
      <c r="H48" s="831"/>
      <c r="I48" s="832" t="s">
        <v>182</v>
      </c>
      <c r="J48" s="832"/>
      <c r="K48" s="99"/>
      <c r="L48" s="99"/>
    </row>
    <row r="49" spans="2:12" ht="127.5" x14ac:dyDescent="0.2">
      <c r="B49" s="112" t="s">
        <v>25</v>
      </c>
      <c r="C49" s="112" t="s">
        <v>26</v>
      </c>
      <c r="D49" s="112" t="s">
        <v>168</v>
      </c>
      <c r="E49" s="113" t="s">
        <v>183</v>
      </c>
      <c r="F49" s="112" t="s">
        <v>343</v>
      </c>
      <c r="G49" s="112" t="s">
        <v>404</v>
      </c>
      <c r="H49" s="112" t="s">
        <v>357</v>
      </c>
      <c r="I49" s="575" t="s">
        <v>358</v>
      </c>
      <c r="J49" s="575" t="s">
        <v>184</v>
      </c>
      <c r="K49" s="585"/>
      <c r="L49" s="102"/>
    </row>
    <row r="50" spans="2:12" x14ac:dyDescent="0.2">
      <c r="B50" s="114" t="s">
        <v>29</v>
      </c>
      <c r="C50" s="115">
        <v>7080</v>
      </c>
      <c r="D50" s="116">
        <f>($C50*25)/100</f>
        <v>1770</v>
      </c>
      <c r="E50" s="116">
        <v>967</v>
      </c>
      <c r="F50" s="215">
        <v>2241</v>
      </c>
      <c r="G50" s="215">
        <v>152</v>
      </c>
      <c r="H50" s="116">
        <f t="shared" ref="H50:H55" si="5">SUM(E50:G50)</f>
        <v>3360</v>
      </c>
      <c r="I50" s="117">
        <f>$F50/$D50</f>
        <v>1.2661016949152541</v>
      </c>
      <c r="J50" s="117">
        <f>$H50/$C50</f>
        <v>0.47457627118644069</v>
      </c>
      <c r="K50" s="586"/>
      <c r="L50" s="102"/>
    </row>
    <row r="51" spans="2:12" x14ac:dyDescent="0.2">
      <c r="B51" s="118" t="s">
        <v>30</v>
      </c>
      <c r="C51" s="108">
        <v>1516</v>
      </c>
      <c r="D51" s="119">
        <f t="shared" ref="D51:D55" si="6">($C51*25)/100</f>
        <v>379</v>
      </c>
      <c r="E51" s="110">
        <v>165</v>
      </c>
      <c r="F51" s="216">
        <v>435</v>
      </c>
      <c r="G51" s="216">
        <v>40</v>
      </c>
      <c r="H51" s="110">
        <f t="shared" si="5"/>
        <v>640</v>
      </c>
      <c r="I51" s="126">
        <f t="shared" ref="I51:I54" si="7">$F51/$D51</f>
        <v>1.1477572559366755</v>
      </c>
      <c r="J51" s="120">
        <f t="shared" ref="J51:J55" si="8">$H51/$C51</f>
        <v>0.42216358839050133</v>
      </c>
      <c r="K51" s="587"/>
      <c r="L51" s="102"/>
    </row>
    <row r="52" spans="2:12" x14ac:dyDescent="0.2">
      <c r="B52" s="118" t="s">
        <v>12</v>
      </c>
      <c r="C52" s="108">
        <v>3627</v>
      </c>
      <c r="D52" s="119">
        <f t="shared" si="6"/>
        <v>906.75</v>
      </c>
      <c r="E52" s="110">
        <v>518</v>
      </c>
      <c r="F52" s="216">
        <v>973</v>
      </c>
      <c r="G52" s="216">
        <v>51</v>
      </c>
      <c r="H52" s="110">
        <f t="shared" si="5"/>
        <v>1542</v>
      </c>
      <c r="I52" s="126">
        <f t="shared" si="7"/>
        <v>1.0730631375792665</v>
      </c>
      <c r="J52" s="120">
        <f t="shared" si="8"/>
        <v>0.4251447477253929</v>
      </c>
      <c r="K52" s="587"/>
      <c r="L52" s="102"/>
    </row>
    <row r="53" spans="2:12" x14ac:dyDescent="0.2">
      <c r="B53" s="118" t="s">
        <v>11</v>
      </c>
      <c r="C53" s="108">
        <v>1468</v>
      </c>
      <c r="D53" s="119">
        <f t="shared" si="6"/>
        <v>367</v>
      </c>
      <c r="E53" s="110">
        <v>197</v>
      </c>
      <c r="F53" s="216">
        <v>627</v>
      </c>
      <c r="G53" s="216">
        <v>58</v>
      </c>
      <c r="H53" s="110">
        <f t="shared" si="5"/>
        <v>882</v>
      </c>
      <c r="I53" s="126">
        <f t="shared" si="7"/>
        <v>1.7084468664850136</v>
      </c>
      <c r="J53" s="120">
        <f t="shared" si="8"/>
        <v>0.60081743869209814</v>
      </c>
      <c r="K53" s="587"/>
      <c r="L53" s="102"/>
    </row>
    <row r="54" spans="2:12" x14ac:dyDescent="0.2">
      <c r="B54" s="118" t="s">
        <v>10</v>
      </c>
      <c r="C54" s="108">
        <v>443</v>
      </c>
      <c r="D54" s="119">
        <f t="shared" si="6"/>
        <v>110.75</v>
      </c>
      <c r="E54" s="110">
        <v>86</v>
      </c>
      <c r="F54" s="216">
        <v>200</v>
      </c>
      <c r="G54" s="216">
        <v>3</v>
      </c>
      <c r="H54" s="110">
        <f t="shared" si="5"/>
        <v>289</v>
      </c>
      <c r="I54" s="126">
        <f t="shared" si="7"/>
        <v>1.8058690744920993</v>
      </c>
      <c r="J54" s="120">
        <f t="shared" si="8"/>
        <v>0.65237020316027083</v>
      </c>
      <c r="K54" s="587"/>
      <c r="L54" s="102"/>
    </row>
    <row r="55" spans="2:12" x14ac:dyDescent="0.2">
      <c r="B55" s="118" t="s">
        <v>31</v>
      </c>
      <c r="C55" s="108">
        <v>26</v>
      </c>
      <c r="D55" s="119">
        <f t="shared" si="6"/>
        <v>6.5</v>
      </c>
      <c r="E55" s="110">
        <v>1</v>
      </c>
      <c r="F55" s="216">
        <v>6</v>
      </c>
      <c r="G55" s="216">
        <v>0</v>
      </c>
      <c r="H55" s="110">
        <f t="shared" si="5"/>
        <v>7</v>
      </c>
      <c r="I55" s="120">
        <f>$F55/$D55</f>
        <v>0.92307692307692313</v>
      </c>
      <c r="J55" s="120">
        <f t="shared" si="8"/>
        <v>0.26923076923076922</v>
      </c>
      <c r="K55" s="587"/>
      <c r="L55" s="102"/>
    </row>
    <row r="56" spans="2:12" x14ac:dyDescent="0.2">
      <c r="J56" s="299"/>
      <c r="K56" s="299"/>
      <c r="L56" s="102"/>
    </row>
    <row r="57" spans="2:12" x14ac:dyDescent="0.2">
      <c r="H57" s="593"/>
    </row>
    <row r="58" spans="2:12" x14ac:dyDescent="0.2">
      <c r="H58" s="594"/>
    </row>
    <row r="59" spans="2:12" x14ac:dyDescent="0.2">
      <c r="H59" s="111"/>
    </row>
    <row r="60" spans="2:12" x14ac:dyDescent="0.2">
      <c r="H60" s="111"/>
    </row>
    <row r="61" spans="2:12" x14ac:dyDescent="0.2">
      <c r="H61" s="111"/>
    </row>
    <row r="62" spans="2:12" x14ac:dyDescent="0.2">
      <c r="H62" s="111"/>
    </row>
    <row r="63" spans="2:12" x14ac:dyDescent="0.2">
      <c r="H63" s="111"/>
    </row>
  </sheetData>
  <mergeCells count="14">
    <mergeCell ref="B26:E26"/>
    <mergeCell ref="B44:D44"/>
    <mergeCell ref="B48:D48"/>
    <mergeCell ref="E48:H48"/>
    <mergeCell ref="I48:J48"/>
    <mergeCell ref="B18:C18"/>
    <mergeCell ref="B19:C19"/>
    <mergeCell ref="B20:C20"/>
    <mergeCell ref="B21:C21"/>
    <mergeCell ref="B12:H12"/>
    <mergeCell ref="B14:C14"/>
    <mergeCell ref="B15:C15"/>
    <mergeCell ref="B16:C16"/>
    <mergeCell ref="B17:C1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V60"/>
  <sheetViews>
    <sheetView topLeftCell="A19" zoomScale="60" zoomScaleNormal="60" workbookViewId="0">
      <selection activeCell="Y32" sqref="Y32"/>
    </sheetView>
  </sheetViews>
  <sheetFormatPr baseColWidth="10" defaultRowHeight="15" x14ac:dyDescent="0.25"/>
  <cols>
    <col min="1" max="1" width="11.42578125" style="40"/>
    <col min="2" max="2" width="41" style="40" customWidth="1"/>
    <col min="3" max="4" width="7.7109375" style="40" bestFit="1" customWidth="1"/>
    <col min="5" max="5" width="9.85546875" style="40" bestFit="1" customWidth="1"/>
    <col min="6" max="6" width="9.7109375" style="40" bestFit="1" customWidth="1"/>
    <col min="7" max="8" width="8.7109375" style="40" bestFit="1" customWidth="1"/>
    <col min="9" max="9" width="8.5703125" style="40" bestFit="1" customWidth="1"/>
    <col min="10" max="10" width="18.28515625" style="40" customWidth="1"/>
    <col min="11" max="11" width="11.42578125" style="40"/>
    <col min="12" max="12" width="9.28515625" style="40" customWidth="1"/>
    <col min="13" max="13" width="43.85546875" style="40" customWidth="1"/>
    <col min="14" max="14" width="7.7109375" style="40" bestFit="1" customWidth="1"/>
    <col min="15" max="20" width="7.42578125" style="40" bestFit="1" customWidth="1"/>
    <col min="21" max="21" width="16.7109375" style="40" bestFit="1" customWidth="1"/>
    <col min="22" max="16384" width="11.42578125" style="40"/>
  </cols>
  <sheetData>
    <row r="1" spans="1:22" ht="15.75" x14ac:dyDescent="0.25">
      <c r="A1" s="2" t="s">
        <v>15</v>
      </c>
      <c r="K1" s="633"/>
    </row>
    <row r="2" spans="1:22" x14ac:dyDescent="0.25">
      <c r="A2" s="2" t="s">
        <v>16</v>
      </c>
    </row>
    <row r="3" spans="1:22" x14ac:dyDescent="0.25">
      <c r="A3" s="2" t="s">
        <v>17</v>
      </c>
    </row>
    <row r="4" spans="1:22" x14ac:dyDescent="0.25">
      <c r="A4" s="2" t="s">
        <v>18</v>
      </c>
    </row>
    <row r="5" spans="1:22" ht="15.75" thickBot="1" x14ac:dyDescent="0.3"/>
    <row r="6" spans="1:22" ht="22.5" thickTop="1" thickBot="1" x14ac:dyDescent="0.4">
      <c r="B6" s="836" t="s">
        <v>217</v>
      </c>
      <c r="C6" s="837"/>
      <c r="D6" s="837"/>
      <c r="E6" s="837"/>
      <c r="F6" s="837"/>
      <c r="G6" s="837"/>
      <c r="H6" s="837"/>
      <c r="I6" s="837"/>
      <c r="J6" s="837"/>
      <c r="K6" s="838"/>
      <c r="M6" s="836" t="s">
        <v>218</v>
      </c>
      <c r="N6" s="837"/>
      <c r="O6" s="837"/>
      <c r="P6" s="837"/>
      <c r="Q6" s="837"/>
      <c r="R6" s="837"/>
      <c r="S6" s="837"/>
      <c r="T6" s="837"/>
      <c r="U6" s="837"/>
      <c r="V6" s="838"/>
    </row>
    <row r="7" spans="1:22" ht="16.5" thickTop="1" thickBot="1" x14ac:dyDescent="0.3"/>
    <row r="8" spans="1:22" ht="16.5" thickTop="1" thickBot="1" x14ac:dyDescent="0.3">
      <c r="C8" s="132">
        <v>2009</v>
      </c>
      <c r="D8" s="133">
        <v>2013</v>
      </c>
      <c r="E8" s="133">
        <v>2014</v>
      </c>
      <c r="F8" s="133">
        <v>2015</v>
      </c>
      <c r="G8" s="133">
        <v>2016</v>
      </c>
      <c r="H8" s="133">
        <v>2017</v>
      </c>
      <c r="I8" s="134">
        <v>2018</v>
      </c>
      <c r="J8" s="135" t="s">
        <v>74</v>
      </c>
    </row>
    <row r="9" spans="1:22" ht="16.5" thickTop="1" thickBot="1" x14ac:dyDescent="0.3">
      <c r="B9" s="217" t="s">
        <v>251</v>
      </c>
      <c r="C9" s="218"/>
      <c r="D9" s="219">
        <v>3</v>
      </c>
      <c r="E9" s="219">
        <v>12</v>
      </c>
      <c r="F9" s="219">
        <v>1066</v>
      </c>
      <c r="G9" s="219">
        <v>2037</v>
      </c>
      <c r="H9" s="219">
        <v>3962</v>
      </c>
      <c r="I9" s="220"/>
      <c r="J9" s="221">
        <v>7080</v>
      </c>
      <c r="K9" s="634">
        <f>SUM(C9:F9)</f>
        <v>1081</v>
      </c>
      <c r="M9" s="137" t="s">
        <v>220</v>
      </c>
      <c r="N9" s="180">
        <v>2009</v>
      </c>
      <c r="O9" s="181">
        <v>2013</v>
      </c>
      <c r="P9" s="181">
        <v>2014</v>
      </c>
      <c r="Q9" s="181">
        <v>2015</v>
      </c>
      <c r="R9" s="181">
        <v>2016</v>
      </c>
      <c r="S9" s="181">
        <v>2017</v>
      </c>
      <c r="T9" s="182">
        <v>2018</v>
      </c>
      <c r="U9" s="177" t="s">
        <v>74</v>
      </c>
    </row>
    <row r="10" spans="1:22" ht="16.5" thickTop="1" thickBot="1" x14ac:dyDescent="0.3">
      <c r="B10" s="222" t="s">
        <v>233</v>
      </c>
      <c r="C10" s="223">
        <v>1</v>
      </c>
      <c r="D10" s="224">
        <v>1</v>
      </c>
      <c r="E10" s="224">
        <v>6</v>
      </c>
      <c r="F10" s="224">
        <v>708</v>
      </c>
      <c r="G10" s="224">
        <v>1783</v>
      </c>
      <c r="H10" s="224">
        <v>3482</v>
      </c>
      <c r="I10" s="225">
        <v>1548</v>
      </c>
      <c r="J10" s="226">
        <v>7528</v>
      </c>
      <c r="K10" s="634">
        <f t="shared" ref="K10:K16" si="0">SUM(C10:F10)</f>
        <v>716</v>
      </c>
      <c r="M10" s="175" t="s">
        <v>12</v>
      </c>
      <c r="N10" s="183"/>
      <c r="O10" s="184">
        <v>1</v>
      </c>
      <c r="P10" s="184">
        <v>3</v>
      </c>
      <c r="Q10" s="184">
        <v>58</v>
      </c>
      <c r="R10" s="184">
        <v>438</v>
      </c>
      <c r="S10" s="184">
        <v>860</v>
      </c>
      <c r="T10" s="185">
        <v>2000</v>
      </c>
      <c r="U10" s="179">
        <v>3360</v>
      </c>
    </row>
    <row r="11" spans="1:22" ht="15.75" thickTop="1" x14ac:dyDescent="0.25">
      <c r="B11" s="222" t="s">
        <v>250</v>
      </c>
      <c r="C11" s="223">
        <v>1</v>
      </c>
      <c r="D11" s="224">
        <v>1</v>
      </c>
      <c r="E11" s="224">
        <v>5</v>
      </c>
      <c r="F11" s="224">
        <v>583</v>
      </c>
      <c r="G11" s="224">
        <v>1594</v>
      </c>
      <c r="H11" s="224">
        <v>3280</v>
      </c>
      <c r="I11" s="225">
        <v>1763</v>
      </c>
      <c r="J11" s="226">
        <v>7226</v>
      </c>
      <c r="K11" s="634">
        <f t="shared" si="0"/>
        <v>590</v>
      </c>
      <c r="M11" s="151" t="s">
        <v>221</v>
      </c>
      <c r="N11" s="233"/>
      <c r="O11" s="147"/>
      <c r="P11" s="147">
        <v>1</v>
      </c>
      <c r="Q11" s="147">
        <v>15</v>
      </c>
      <c r="R11" s="147">
        <v>311</v>
      </c>
      <c r="S11" s="147">
        <v>541</v>
      </c>
      <c r="T11" s="148">
        <v>807</v>
      </c>
      <c r="U11" s="149">
        <v>1675</v>
      </c>
      <c r="V11" s="833">
        <f>U10/U59</f>
        <v>0.51891891891891895</v>
      </c>
    </row>
    <row r="12" spans="1:22" x14ac:dyDescent="0.25">
      <c r="B12" s="222" t="s">
        <v>232</v>
      </c>
      <c r="C12" s="223">
        <v>1</v>
      </c>
      <c r="D12" s="224">
        <v>1</v>
      </c>
      <c r="E12" s="224">
        <v>4</v>
      </c>
      <c r="F12" s="224">
        <v>382</v>
      </c>
      <c r="G12" s="224">
        <v>1288</v>
      </c>
      <c r="H12" s="224">
        <v>2635</v>
      </c>
      <c r="I12" s="225">
        <v>2503</v>
      </c>
      <c r="J12" s="226">
        <v>6813</v>
      </c>
      <c r="K12" s="634">
        <f t="shared" si="0"/>
        <v>388</v>
      </c>
      <c r="M12" s="152" t="s">
        <v>222</v>
      </c>
      <c r="N12" s="233"/>
      <c r="O12" s="147">
        <v>1</v>
      </c>
      <c r="P12" s="147">
        <v>2</v>
      </c>
      <c r="Q12" s="147">
        <v>12</v>
      </c>
      <c r="R12" s="147">
        <v>36</v>
      </c>
      <c r="S12" s="147">
        <v>76</v>
      </c>
      <c r="T12" s="148">
        <v>314</v>
      </c>
      <c r="U12" s="149">
        <v>441</v>
      </c>
      <c r="V12" s="834"/>
    </row>
    <row r="13" spans="1:22" x14ac:dyDescent="0.25">
      <c r="B13" s="222" t="s">
        <v>252</v>
      </c>
      <c r="C13" s="223">
        <v>1</v>
      </c>
      <c r="D13" s="224">
        <v>16</v>
      </c>
      <c r="E13" s="224">
        <v>4</v>
      </c>
      <c r="F13" s="224">
        <v>270</v>
      </c>
      <c r="G13" s="224">
        <v>1086</v>
      </c>
      <c r="H13" s="224">
        <v>2179</v>
      </c>
      <c r="I13" s="225">
        <v>2723</v>
      </c>
      <c r="J13" s="226">
        <v>6279</v>
      </c>
      <c r="K13" s="634">
        <f t="shared" si="0"/>
        <v>291</v>
      </c>
      <c r="M13" s="152" t="s">
        <v>225</v>
      </c>
      <c r="N13" s="233"/>
      <c r="O13" s="147"/>
      <c r="P13" s="147"/>
      <c r="Q13" s="147">
        <v>2</v>
      </c>
      <c r="R13" s="147">
        <v>13</v>
      </c>
      <c r="S13" s="147">
        <v>72</v>
      </c>
      <c r="T13" s="148">
        <v>288</v>
      </c>
      <c r="U13" s="149">
        <v>375</v>
      </c>
      <c r="V13" s="834"/>
    </row>
    <row r="14" spans="1:22" x14ac:dyDescent="0.25">
      <c r="B14" s="222" t="s">
        <v>239</v>
      </c>
      <c r="C14" s="223">
        <v>1</v>
      </c>
      <c r="D14" s="224">
        <v>16</v>
      </c>
      <c r="E14" s="224">
        <v>5</v>
      </c>
      <c r="F14" s="224">
        <v>242</v>
      </c>
      <c r="G14" s="224">
        <v>993</v>
      </c>
      <c r="H14" s="224">
        <v>2002</v>
      </c>
      <c r="I14" s="225">
        <v>2915</v>
      </c>
      <c r="J14" s="226">
        <v>6174</v>
      </c>
      <c r="K14" s="634">
        <f t="shared" si="0"/>
        <v>264</v>
      </c>
      <c r="M14" s="152" t="s">
        <v>224</v>
      </c>
      <c r="N14" s="233"/>
      <c r="O14" s="147"/>
      <c r="P14" s="147"/>
      <c r="Q14" s="147">
        <v>9</v>
      </c>
      <c r="R14" s="147">
        <v>50</v>
      </c>
      <c r="S14" s="147">
        <v>86</v>
      </c>
      <c r="T14" s="148">
        <v>152</v>
      </c>
      <c r="U14" s="149">
        <v>297</v>
      </c>
      <c r="V14" s="834"/>
    </row>
    <row r="15" spans="1:22" x14ac:dyDescent="0.25">
      <c r="B15" s="222" t="s">
        <v>240</v>
      </c>
      <c r="C15" s="223">
        <v>1</v>
      </c>
      <c r="D15" s="224">
        <v>4</v>
      </c>
      <c r="E15" s="224">
        <v>5</v>
      </c>
      <c r="F15" s="224">
        <v>170</v>
      </c>
      <c r="G15" s="224">
        <v>794</v>
      </c>
      <c r="H15" s="224">
        <v>1809</v>
      </c>
      <c r="I15" s="225">
        <v>3631</v>
      </c>
      <c r="J15" s="226">
        <v>6414</v>
      </c>
      <c r="K15" s="634">
        <f t="shared" si="0"/>
        <v>180</v>
      </c>
      <c r="M15" s="152" t="s">
        <v>229</v>
      </c>
      <c r="N15" s="233"/>
      <c r="O15" s="147"/>
      <c r="P15" s="147"/>
      <c r="Q15" s="147">
        <v>7</v>
      </c>
      <c r="R15" s="147">
        <v>6</v>
      </c>
      <c r="S15" s="147">
        <v>31</v>
      </c>
      <c r="T15" s="148">
        <v>160</v>
      </c>
      <c r="U15" s="149">
        <v>204</v>
      </c>
      <c r="V15" s="834"/>
    </row>
    <row r="16" spans="1:22" x14ac:dyDescent="0.25">
      <c r="B16" s="222" t="s">
        <v>241</v>
      </c>
      <c r="C16" s="223"/>
      <c r="D16" s="224">
        <v>4</v>
      </c>
      <c r="E16" s="224">
        <v>4</v>
      </c>
      <c r="F16" s="224">
        <v>104</v>
      </c>
      <c r="G16" s="224">
        <v>700</v>
      </c>
      <c r="H16" s="224">
        <v>1662</v>
      </c>
      <c r="I16" s="225">
        <v>4001</v>
      </c>
      <c r="J16" s="226">
        <v>6475</v>
      </c>
      <c r="K16" s="634">
        <f t="shared" si="0"/>
        <v>112</v>
      </c>
      <c r="L16" s="637">
        <f>K16/K9</f>
        <v>0.1036077705827937</v>
      </c>
      <c r="M16" s="152" t="s">
        <v>226</v>
      </c>
      <c r="N16" s="233"/>
      <c r="O16" s="147"/>
      <c r="P16" s="147"/>
      <c r="Q16" s="147"/>
      <c r="R16" s="147">
        <v>3</v>
      </c>
      <c r="S16" s="147">
        <v>13</v>
      </c>
      <c r="T16" s="148">
        <v>123</v>
      </c>
      <c r="U16" s="149">
        <v>139</v>
      </c>
      <c r="V16" s="834"/>
    </row>
    <row r="17" spans="2:22" x14ac:dyDescent="0.25">
      <c r="B17" s="222" t="s">
        <v>242</v>
      </c>
      <c r="C17" s="223"/>
      <c r="D17" s="224"/>
      <c r="E17" s="224"/>
      <c r="F17" s="224"/>
      <c r="G17" s="224"/>
      <c r="H17" s="224"/>
      <c r="I17" s="225"/>
      <c r="J17" s="227"/>
      <c r="K17" s="722"/>
      <c r="M17" s="152" t="s">
        <v>227</v>
      </c>
      <c r="N17" s="233"/>
      <c r="O17" s="147"/>
      <c r="P17" s="147"/>
      <c r="Q17" s="147">
        <v>2</v>
      </c>
      <c r="R17" s="147">
        <v>5</v>
      </c>
      <c r="S17" s="147">
        <v>5</v>
      </c>
      <c r="T17" s="148">
        <v>81</v>
      </c>
      <c r="U17" s="149">
        <v>93</v>
      </c>
      <c r="V17" s="834"/>
    </row>
    <row r="18" spans="2:22" ht="15.75" thickBot="1" x14ac:dyDescent="0.3">
      <c r="B18" s="228" t="s">
        <v>243</v>
      </c>
      <c r="C18" s="229"/>
      <c r="D18" s="230"/>
      <c r="E18" s="230"/>
      <c r="F18" s="230"/>
      <c r="G18" s="230"/>
      <c r="H18" s="230"/>
      <c r="I18" s="231"/>
      <c r="J18" s="232"/>
      <c r="M18" s="152" t="s">
        <v>230</v>
      </c>
      <c r="N18" s="233"/>
      <c r="O18" s="147"/>
      <c r="P18" s="147"/>
      <c r="Q18" s="147">
        <v>3</v>
      </c>
      <c r="R18" s="147">
        <v>3</v>
      </c>
      <c r="S18" s="147">
        <v>13</v>
      </c>
      <c r="T18" s="148">
        <v>34</v>
      </c>
      <c r="U18" s="149">
        <v>53</v>
      </c>
      <c r="V18" s="834"/>
    </row>
    <row r="19" spans="2:22" ht="15.75" thickTop="1" x14ac:dyDescent="0.25">
      <c r="M19" s="152" t="s">
        <v>231</v>
      </c>
      <c r="N19" s="233"/>
      <c r="O19" s="147"/>
      <c r="P19" s="147"/>
      <c r="Q19" s="147">
        <v>7</v>
      </c>
      <c r="R19" s="147">
        <v>6</v>
      </c>
      <c r="S19" s="147">
        <v>10</v>
      </c>
      <c r="T19" s="148">
        <v>24</v>
      </c>
      <c r="U19" s="149">
        <v>47</v>
      </c>
      <c r="V19" s="834"/>
    </row>
    <row r="20" spans="2:22" ht="15.75" thickBot="1" x14ac:dyDescent="0.3">
      <c r="M20" s="152" t="s">
        <v>223</v>
      </c>
      <c r="N20" s="233"/>
      <c r="O20" s="147"/>
      <c r="P20" s="147"/>
      <c r="Q20" s="147">
        <v>1</v>
      </c>
      <c r="R20" s="147">
        <v>4</v>
      </c>
      <c r="S20" s="147">
        <v>11</v>
      </c>
      <c r="T20" s="148">
        <v>15</v>
      </c>
      <c r="U20" s="149">
        <v>31</v>
      </c>
      <c r="V20" s="834"/>
    </row>
    <row r="21" spans="2:22" ht="16.5" thickTop="1" thickBot="1" x14ac:dyDescent="0.3">
      <c r="B21" s="131" t="s">
        <v>219</v>
      </c>
      <c r="C21" s="132">
        <v>2009</v>
      </c>
      <c r="D21" s="133">
        <v>2013</v>
      </c>
      <c r="E21" s="133">
        <v>2014</v>
      </c>
      <c r="F21" s="133">
        <v>2015</v>
      </c>
      <c r="G21" s="133">
        <v>2016</v>
      </c>
      <c r="H21" s="133">
        <v>2017</v>
      </c>
      <c r="I21" s="134">
        <v>2018</v>
      </c>
      <c r="J21" s="135" t="s">
        <v>74</v>
      </c>
      <c r="K21" s="136" t="s">
        <v>75</v>
      </c>
      <c r="M21" s="165" t="s">
        <v>228</v>
      </c>
      <c r="N21" s="234"/>
      <c r="O21" s="186"/>
      <c r="P21" s="186"/>
      <c r="Q21" s="186"/>
      <c r="R21" s="186">
        <v>1</v>
      </c>
      <c r="S21" s="186">
        <v>2</v>
      </c>
      <c r="T21" s="187">
        <v>2</v>
      </c>
      <c r="U21" s="178">
        <v>5</v>
      </c>
      <c r="V21" s="835"/>
    </row>
    <row r="22" spans="2:22" ht="16.5" thickTop="1" thickBot="1" x14ac:dyDescent="0.3">
      <c r="B22" s="138" t="s">
        <v>221</v>
      </c>
      <c r="C22" s="139"/>
      <c r="D22" s="140">
        <v>1</v>
      </c>
      <c r="E22" s="140">
        <v>1</v>
      </c>
      <c r="F22" s="140">
        <v>19</v>
      </c>
      <c r="G22" s="140">
        <v>332</v>
      </c>
      <c r="H22" s="140">
        <v>565</v>
      </c>
      <c r="I22" s="141">
        <v>908</v>
      </c>
      <c r="J22" s="142">
        <v>1826</v>
      </c>
      <c r="K22" s="143">
        <f>J22/$J$33</f>
        <v>0.28200772200772201</v>
      </c>
      <c r="L22" s="144"/>
      <c r="M22" s="176" t="s">
        <v>11</v>
      </c>
      <c r="N22" s="235"/>
      <c r="O22" s="184">
        <v>3</v>
      </c>
      <c r="P22" s="184"/>
      <c r="Q22" s="184">
        <v>31</v>
      </c>
      <c r="R22" s="184">
        <v>63</v>
      </c>
      <c r="S22" s="184">
        <v>294</v>
      </c>
      <c r="T22" s="185">
        <v>1068</v>
      </c>
      <c r="U22" s="179">
        <v>1459</v>
      </c>
      <c r="V22" s="173"/>
    </row>
    <row r="23" spans="2:22" ht="15.75" thickTop="1" x14ac:dyDescent="0.25">
      <c r="B23" s="145" t="s">
        <v>222</v>
      </c>
      <c r="C23" s="146"/>
      <c r="D23" s="147">
        <v>2</v>
      </c>
      <c r="E23" s="147">
        <v>2</v>
      </c>
      <c r="F23" s="147">
        <v>25</v>
      </c>
      <c r="G23" s="147">
        <v>109</v>
      </c>
      <c r="H23" s="147">
        <v>314</v>
      </c>
      <c r="I23" s="148">
        <v>1057</v>
      </c>
      <c r="J23" s="149">
        <v>1509</v>
      </c>
      <c r="K23" s="150">
        <f t="shared" ref="K23:K33" si="1">J23/$J$33</f>
        <v>0.23305019305019306</v>
      </c>
      <c r="L23" s="144"/>
      <c r="M23" s="152" t="s">
        <v>222</v>
      </c>
      <c r="N23" s="233"/>
      <c r="O23" s="147">
        <v>1</v>
      </c>
      <c r="P23" s="147"/>
      <c r="Q23" s="147">
        <v>10</v>
      </c>
      <c r="R23" s="147">
        <v>11</v>
      </c>
      <c r="S23" s="147">
        <v>116</v>
      </c>
      <c r="T23" s="148">
        <v>291</v>
      </c>
      <c r="U23" s="149">
        <v>429</v>
      </c>
      <c r="V23" s="833">
        <f>U22/U59</f>
        <v>0.22532818532818533</v>
      </c>
    </row>
    <row r="24" spans="2:22" x14ac:dyDescent="0.25">
      <c r="B24" s="145" t="s">
        <v>223</v>
      </c>
      <c r="C24" s="146"/>
      <c r="D24" s="147">
        <v>1</v>
      </c>
      <c r="E24" s="147"/>
      <c r="F24" s="147">
        <v>11</v>
      </c>
      <c r="G24" s="147">
        <v>96</v>
      </c>
      <c r="H24" s="147">
        <v>316</v>
      </c>
      <c r="I24" s="148">
        <v>431</v>
      </c>
      <c r="J24" s="149">
        <v>855</v>
      </c>
      <c r="K24" s="150">
        <f t="shared" si="1"/>
        <v>0.13204633204633204</v>
      </c>
      <c r="L24" s="144"/>
      <c r="M24" s="152" t="s">
        <v>223</v>
      </c>
      <c r="N24" s="233"/>
      <c r="O24" s="147">
        <v>1</v>
      </c>
      <c r="P24" s="147"/>
      <c r="Q24" s="147">
        <v>5</v>
      </c>
      <c r="R24" s="147">
        <v>7</v>
      </c>
      <c r="S24" s="147">
        <v>52</v>
      </c>
      <c r="T24" s="148">
        <v>250</v>
      </c>
      <c r="U24" s="149">
        <v>315</v>
      </c>
      <c r="V24" s="834"/>
    </row>
    <row r="25" spans="2:22" x14ac:dyDescent="0.25">
      <c r="B25" s="145" t="s">
        <v>224</v>
      </c>
      <c r="C25" s="146"/>
      <c r="D25" s="147"/>
      <c r="E25" s="147"/>
      <c r="F25" s="147">
        <v>11</v>
      </c>
      <c r="G25" s="147">
        <v>68</v>
      </c>
      <c r="H25" s="147">
        <v>144</v>
      </c>
      <c r="I25" s="148">
        <v>249</v>
      </c>
      <c r="J25" s="149">
        <v>472</v>
      </c>
      <c r="K25" s="150">
        <f t="shared" si="1"/>
        <v>7.2895752895752897E-2</v>
      </c>
      <c r="L25" s="144"/>
      <c r="M25" s="152" t="s">
        <v>228</v>
      </c>
      <c r="N25" s="233"/>
      <c r="O25" s="147"/>
      <c r="P25" s="147"/>
      <c r="Q25" s="147">
        <v>2</v>
      </c>
      <c r="R25" s="147">
        <v>13</v>
      </c>
      <c r="S25" s="147">
        <v>37</v>
      </c>
      <c r="T25" s="148">
        <v>256</v>
      </c>
      <c r="U25" s="149">
        <v>308</v>
      </c>
      <c r="V25" s="834"/>
    </row>
    <row r="26" spans="2:22" x14ac:dyDescent="0.25">
      <c r="B26" s="145" t="s">
        <v>226</v>
      </c>
      <c r="C26" s="146"/>
      <c r="D26" s="147"/>
      <c r="E26" s="147">
        <v>1</v>
      </c>
      <c r="F26" s="147">
        <v>9</v>
      </c>
      <c r="G26" s="147">
        <v>21</v>
      </c>
      <c r="H26" s="147">
        <v>75</v>
      </c>
      <c r="I26" s="148">
        <v>339</v>
      </c>
      <c r="J26" s="149">
        <v>445</v>
      </c>
      <c r="K26" s="150">
        <f>J26/$J$33</f>
        <v>6.8725868725868722E-2</v>
      </c>
      <c r="L26" s="144"/>
      <c r="M26" s="152" t="s">
        <v>226</v>
      </c>
      <c r="N26" s="233"/>
      <c r="O26" s="147"/>
      <c r="P26" s="147"/>
      <c r="Q26" s="147">
        <v>8</v>
      </c>
      <c r="R26" s="147">
        <v>11</v>
      </c>
      <c r="S26" s="147">
        <v>44</v>
      </c>
      <c r="T26" s="148">
        <v>120</v>
      </c>
      <c r="U26" s="149">
        <v>183</v>
      </c>
      <c r="V26" s="834"/>
    </row>
    <row r="27" spans="2:22" x14ac:dyDescent="0.25">
      <c r="B27" s="145" t="s">
        <v>225</v>
      </c>
      <c r="C27" s="146"/>
      <c r="D27" s="147"/>
      <c r="E27" s="147"/>
      <c r="F27" s="147">
        <v>2</v>
      </c>
      <c r="G27" s="147">
        <v>13</v>
      </c>
      <c r="H27" s="147">
        <v>73</v>
      </c>
      <c r="I27" s="148">
        <v>295</v>
      </c>
      <c r="J27" s="149">
        <v>383</v>
      </c>
      <c r="K27" s="150">
        <f t="shared" si="1"/>
        <v>5.9150579150579148E-2</v>
      </c>
      <c r="L27" s="144"/>
      <c r="M27" s="152" t="s">
        <v>221</v>
      </c>
      <c r="N27" s="233"/>
      <c r="O27" s="147">
        <v>1</v>
      </c>
      <c r="P27" s="147"/>
      <c r="Q27" s="147">
        <v>4</v>
      </c>
      <c r="R27" s="147">
        <v>19</v>
      </c>
      <c r="S27" s="147">
        <v>16</v>
      </c>
      <c r="T27" s="148">
        <v>81</v>
      </c>
      <c r="U27" s="149">
        <v>121</v>
      </c>
      <c r="V27" s="834"/>
    </row>
    <row r="28" spans="2:22" x14ac:dyDescent="0.25">
      <c r="B28" s="145" t="s">
        <v>228</v>
      </c>
      <c r="C28" s="146"/>
      <c r="D28" s="147"/>
      <c r="E28" s="147"/>
      <c r="F28" s="147">
        <v>2</v>
      </c>
      <c r="G28" s="147">
        <v>21</v>
      </c>
      <c r="H28" s="147">
        <v>40</v>
      </c>
      <c r="I28" s="148">
        <v>259</v>
      </c>
      <c r="J28" s="149">
        <v>322</v>
      </c>
      <c r="K28" s="150">
        <f t="shared" si="1"/>
        <v>4.9729729729729728E-2</v>
      </c>
      <c r="L28" s="144"/>
      <c r="M28" s="152" t="s">
        <v>227</v>
      </c>
      <c r="N28" s="233"/>
      <c r="O28" s="147"/>
      <c r="P28" s="147"/>
      <c r="Q28" s="147">
        <v>2</v>
      </c>
      <c r="R28" s="147"/>
      <c r="S28" s="147">
        <v>14</v>
      </c>
      <c r="T28" s="148">
        <v>27</v>
      </c>
      <c r="U28" s="149">
        <v>43</v>
      </c>
      <c r="V28" s="834"/>
    </row>
    <row r="29" spans="2:22" x14ac:dyDescent="0.25">
      <c r="B29" s="145" t="s">
        <v>229</v>
      </c>
      <c r="C29" s="146"/>
      <c r="D29" s="147"/>
      <c r="E29" s="147"/>
      <c r="F29" s="147">
        <v>10</v>
      </c>
      <c r="G29" s="147">
        <v>12</v>
      </c>
      <c r="H29" s="147">
        <v>82</v>
      </c>
      <c r="I29" s="148">
        <v>205</v>
      </c>
      <c r="J29" s="149">
        <v>309</v>
      </c>
      <c r="K29" s="150">
        <f t="shared" si="1"/>
        <v>4.7722007722007721E-2</v>
      </c>
      <c r="M29" s="152" t="s">
        <v>229</v>
      </c>
      <c r="N29" s="233"/>
      <c r="O29" s="147"/>
      <c r="P29" s="147"/>
      <c r="Q29" s="147"/>
      <c r="R29" s="147">
        <v>1</v>
      </c>
      <c r="S29" s="147">
        <v>7</v>
      </c>
      <c r="T29" s="148">
        <v>13</v>
      </c>
      <c r="U29" s="149">
        <v>21</v>
      </c>
      <c r="V29" s="834"/>
    </row>
    <row r="30" spans="2:22" x14ac:dyDescent="0.25">
      <c r="B30" s="145" t="s">
        <v>227</v>
      </c>
      <c r="C30" s="146"/>
      <c r="D30" s="147"/>
      <c r="E30" s="147"/>
      <c r="F30" s="147">
        <v>4</v>
      </c>
      <c r="G30" s="147">
        <v>13</v>
      </c>
      <c r="H30" s="147">
        <v>24</v>
      </c>
      <c r="I30" s="148">
        <v>178</v>
      </c>
      <c r="J30" s="149">
        <v>219</v>
      </c>
      <c r="K30" s="150">
        <f t="shared" si="1"/>
        <v>3.3822393822393826E-2</v>
      </c>
      <c r="M30" s="152" t="s">
        <v>224</v>
      </c>
      <c r="N30" s="233"/>
      <c r="O30" s="147"/>
      <c r="P30" s="147"/>
      <c r="Q30" s="147"/>
      <c r="R30" s="147">
        <v>1</v>
      </c>
      <c r="S30" s="147">
        <v>3</v>
      </c>
      <c r="T30" s="148">
        <v>15</v>
      </c>
      <c r="U30" s="149">
        <v>19</v>
      </c>
      <c r="V30" s="834"/>
    </row>
    <row r="31" spans="2:22" x14ac:dyDescent="0.25">
      <c r="B31" s="145" t="s">
        <v>230</v>
      </c>
      <c r="C31" s="146"/>
      <c r="D31" s="147"/>
      <c r="E31" s="147"/>
      <c r="F31" s="147">
        <v>3</v>
      </c>
      <c r="G31" s="147">
        <v>4</v>
      </c>
      <c r="H31" s="147">
        <v>18</v>
      </c>
      <c r="I31" s="148">
        <v>53</v>
      </c>
      <c r="J31" s="149">
        <v>78</v>
      </c>
      <c r="K31" s="150">
        <f t="shared" si="1"/>
        <v>1.2046332046332046E-2</v>
      </c>
      <c r="M31" s="152" t="s">
        <v>230</v>
      </c>
      <c r="N31" s="233"/>
      <c r="O31" s="147"/>
      <c r="P31" s="147"/>
      <c r="Q31" s="147"/>
      <c r="R31" s="147"/>
      <c r="S31" s="147">
        <v>5</v>
      </c>
      <c r="T31" s="148">
        <v>12</v>
      </c>
      <c r="U31" s="149">
        <v>17</v>
      </c>
      <c r="V31" s="834"/>
    </row>
    <row r="32" spans="2:22" ht="15.75" thickBot="1" x14ac:dyDescent="0.3">
      <c r="B32" s="153" t="s">
        <v>231</v>
      </c>
      <c r="C32" s="154"/>
      <c r="D32" s="155"/>
      <c r="E32" s="155"/>
      <c r="F32" s="155">
        <v>8</v>
      </c>
      <c r="G32" s="155">
        <v>11</v>
      </c>
      <c r="H32" s="155">
        <v>11</v>
      </c>
      <c r="I32" s="156">
        <v>27</v>
      </c>
      <c r="J32" s="157">
        <v>57</v>
      </c>
      <c r="K32" s="158">
        <f t="shared" si="1"/>
        <v>8.8030888030888026E-3</v>
      </c>
      <c r="M32" s="152" t="s">
        <v>225</v>
      </c>
      <c r="N32" s="233"/>
      <c r="O32" s="147"/>
      <c r="P32" s="147"/>
      <c r="Q32" s="147"/>
      <c r="R32" s="147"/>
      <c r="S32" s="147"/>
      <c r="T32" s="148">
        <v>3</v>
      </c>
      <c r="U32" s="149">
        <v>3</v>
      </c>
      <c r="V32" s="835"/>
    </row>
    <row r="33" spans="2:22" ht="16.5" thickTop="1" thickBot="1" x14ac:dyDescent="0.3">
      <c r="B33" s="159" t="s">
        <v>74</v>
      </c>
      <c r="C33" s="160"/>
      <c r="D33" s="161">
        <v>4</v>
      </c>
      <c r="E33" s="161">
        <v>4</v>
      </c>
      <c r="F33" s="161">
        <v>104</v>
      </c>
      <c r="G33" s="161">
        <v>700</v>
      </c>
      <c r="H33" s="161">
        <v>1662</v>
      </c>
      <c r="I33" s="162">
        <v>4001</v>
      </c>
      <c r="J33" s="163">
        <v>6475</v>
      </c>
      <c r="K33" s="164">
        <f t="shared" si="1"/>
        <v>1</v>
      </c>
      <c r="M33" s="176" t="s">
        <v>13</v>
      </c>
      <c r="N33" s="235"/>
      <c r="O33" s="184"/>
      <c r="P33" s="184">
        <v>1</v>
      </c>
      <c r="Q33" s="184">
        <v>13</v>
      </c>
      <c r="R33" s="184">
        <v>160</v>
      </c>
      <c r="S33" s="184">
        <v>412</v>
      </c>
      <c r="T33" s="185">
        <v>609</v>
      </c>
      <c r="U33" s="179">
        <v>1195</v>
      </c>
      <c r="V33" s="173"/>
    </row>
    <row r="34" spans="2:22" ht="15.75" thickTop="1" x14ac:dyDescent="0.25">
      <c r="M34" s="152" t="s">
        <v>223</v>
      </c>
      <c r="N34" s="233"/>
      <c r="O34" s="147"/>
      <c r="P34" s="147"/>
      <c r="Q34" s="147">
        <v>5</v>
      </c>
      <c r="R34" s="147">
        <v>85</v>
      </c>
      <c r="S34" s="147">
        <v>251</v>
      </c>
      <c r="T34" s="148">
        <v>165</v>
      </c>
      <c r="U34" s="149">
        <v>506</v>
      </c>
      <c r="V34" s="833">
        <f>U33/U59</f>
        <v>0.18455598455598454</v>
      </c>
    </row>
    <row r="35" spans="2:22" x14ac:dyDescent="0.25">
      <c r="M35" s="152" t="s">
        <v>222</v>
      </c>
      <c r="N35" s="233"/>
      <c r="O35" s="147"/>
      <c r="P35" s="147"/>
      <c r="Q35" s="147">
        <v>3</v>
      </c>
      <c r="R35" s="147">
        <v>41</v>
      </c>
      <c r="S35" s="147">
        <v>76</v>
      </c>
      <c r="T35" s="148">
        <v>289</v>
      </c>
      <c r="U35" s="149">
        <v>409</v>
      </c>
      <c r="V35" s="834"/>
    </row>
    <row r="36" spans="2:22" x14ac:dyDescent="0.25">
      <c r="M36" s="152" t="s">
        <v>224</v>
      </c>
      <c r="N36" s="233"/>
      <c r="O36" s="147"/>
      <c r="P36" s="147"/>
      <c r="Q36" s="147">
        <v>1</v>
      </c>
      <c r="R36" s="147">
        <v>7</v>
      </c>
      <c r="S36" s="147">
        <v>29</v>
      </c>
      <c r="T36" s="148">
        <v>52</v>
      </c>
      <c r="U36" s="149">
        <v>89</v>
      </c>
      <c r="V36" s="834"/>
    </row>
    <row r="37" spans="2:22" x14ac:dyDescent="0.25">
      <c r="M37" s="152" t="s">
        <v>229</v>
      </c>
      <c r="N37" s="233"/>
      <c r="O37" s="147"/>
      <c r="P37" s="147"/>
      <c r="Q37" s="147">
        <v>3</v>
      </c>
      <c r="R37" s="147">
        <v>5</v>
      </c>
      <c r="S37" s="147">
        <v>44</v>
      </c>
      <c r="T37" s="148">
        <v>32</v>
      </c>
      <c r="U37" s="149">
        <v>84</v>
      </c>
      <c r="V37" s="834"/>
    </row>
    <row r="38" spans="2:22" x14ac:dyDescent="0.25">
      <c r="M38" s="152" t="s">
        <v>226</v>
      </c>
      <c r="N38" s="233"/>
      <c r="O38" s="147"/>
      <c r="P38" s="147">
        <v>1</v>
      </c>
      <c r="Q38" s="147"/>
      <c r="R38" s="147">
        <v>4</v>
      </c>
      <c r="S38" s="147">
        <v>8</v>
      </c>
      <c r="T38" s="148">
        <v>61</v>
      </c>
      <c r="U38" s="149">
        <v>74</v>
      </c>
      <c r="V38" s="834"/>
    </row>
    <row r="39" spans="2:22" x14ac:dyDescent="0.25">
      <c r="M39" s="152" t="s">
        <v>227</v>
      </c>
      <c r="N39" s="233"/>
      <c r="O39" s="147"/>
      <c r="P39" s="147"/>
      <c r="Q39" s="147"/>
      <c r="R39" s="147">
        <v>7</v>
      </c>
      <c r="S39" s="147">
        <v>2</v>
      </c>
      <c r="T39" s="148">
        <v>2</v>
      </c>
      <c r="U39" s="149">
        <v>11</v>
      </c>
      <c r="V39" s="834"/>
    </row>
    <row r="40" spans="2:22" x14ac:dyDescent="0.25">
      <c r="M40" s="152" t="s">
        <v>231</v>
      </c>
      <c r="N40" s="233"/>
      <c r="O40" s="147"/>
      <c r="P40" s="147"/>
      <c r="Q40" s="147">
        <v>1</v>
      </c>
      <c r="R40" s="147">
        <v>5</v>
      </c>
      <c r="S40" s="147">
        <v>1</v>
      </c>
      <c r="T40" s="148">
        <v>3</v>
      </c>
      <c r="U40" s="149">
        <v>10</v>
      </c>
      <c r="V40" s="834"/>
    </row>
    <row r="41" spans="2:22" x14ac:dyDescent="0.25">
      <c r="M41" s="152" t="s">
        <v>228</v>
      </c>
      <c r="N41" s="233"/>
      <c r="O41" s="147"/>
      <c r="P41" s="147"/>
      <c r="Q41" s="147"/>
      <c r="R41" s="147">
        <v>6</v>
      </c>
      <c r="S41" s="147">
        <v>1</v>
      </c>
      <c r="T41" s="148"/>
      <c r="U41" s="149">
        <v>7</v>
      </c>
      <c r="V41" s="834"/>
    </row>
    <row r="42" spans="2:22" ht="15.75" thickBot="1" x14ac:dyDescent="0.3">
      <c r="M42" s="152" t="s">
        <v>230</v>
      </c>
      <c r="N42" s="233"/>
      <c r="O42" s="147"/>
      <c r="P42" s="147"/>
      <c r="Q42" s="147"/>
      <c r="R42" s="147"/>
      <c r="S42" s="147"/>
      <c r="T42" s="148">
        <v>5</v>
      </c>
      <c r="U42" s="149">
        <v>5</v>
      </c>
      <c r="V42" s="835"/>
    </row>
    <row r="43" spans="2:22" ht="16.5" thickTop="1" thickBot="1" x14ac:dyDescent="0.3">
      <c r="M43" s="176" t="s">
        <v>10</v>
      </c>
      <c r="N43" s="235"/>
      <c r="O43" s="184"/>
      <c r="P43" s="184"/>
      <c r="Q43" s="184">
        <v>2</v>
      </c>
      <c r="R43" s="184">
        <v>39</v>
      </c>
      <c r="S43" s="184">
        <v>96</v>
      </c>
      <c r="T43" s="185">
        <v>271</v>
      </c>
      <c r="U43" s="179">
        <v>408</v>
      </c>
      <c r="V43" s="173"/>
    </row>
    <row r="44" spans="2:22" ht="15.75" thickTop="1" x14ac:dyDescent="0.25">
      <c r="M44" s="152" t="s">
        <v>222</v>
      </c>
      <c r="N44" s="233"/>
      <c r="O44" s="147"/>
      <c r="P44" s="147"/>
      <c r="Q44" s="147"/>
      <c r="R44" s="147">
        <v>21</v>
      </c>
      <c r="S44" s="147">
        <v>46</v>
      </c>
      <c r="T44" s="148">
        <v>163</v>
      </c>
      <c r="U44" s="149">
        <v>230</v>
      </c>
      <c r="V44" s="833">
        <f>U43/U59</f>
        <v>6.3011583011583008E-2</v>
      </c>
    </row>
    <row r="45" spans="2:22" x14ac:dyDescent="0.25">
      <c r="M45" s="152" t="s">
        <v>224</v>
      </c>
      <c r="N45" s="233"/>
      <c r="O45" s="147"/>
      <c r="P45" s="147"/>
      <c r="Q45" s="147">
        <v>1</v>
      </c>
      <c r="R45" s="147">
        <v>10</v>
      </c>
      <c r="S45" s="147">
        <v>26</v>
      </c>
      <c r="T45" s="148">
        <v>30</v>
      </c>
      <c r="U45" s="149">
        <v>67</v>
      </c>
      <c r="V45" s="834"/>
    </row>
    <row r="46" spans="2:22" x14ac:dyDescent="0.25">
      <c r="M46" s="152" t="s">
        <v>226</v>
      </c>
      <c r="N46" s="233"/>
      <c r="O46" s="147"/>
      <c r="P46" s="147"/>
      <c r="Q46" s="147">
        <v>1</v>
      </c>
      <c r="R46" s="147">
        <v>3</v>
      </c>
      <c r="S46" s="147">
        <v>10</v>
      </c>
      <c r="T46" s="148">
        <v>35</v>
      </c>
      <c r="U46" s="149">
        <v>49</v>
      </c>
      <c r="V46" s="834"/>
    </row>
    <row r="47" spans="2:22" x14ac:dyDescent="0.25">
      <c r="M47" s="152" t="s">
        <v>221</v>
      </c>
      <c r="N47" s="233"/>
      <c r="O47" s="147"/>
      <c r="P47" s="147"/>
      <c r="Q47" s="147"/>
      <c r="R47" s="147">
        <v>2</v>
      </c>
      <c r="S47" s="147">
        <v>8</v>
      </c>
      <c r="T47" s="148">
        <v>20</v>
      </c>
      <c r="U47" s="149">
        <v>30</v>
      </c>
      <c r="V47" s="834"/>
    </row>
    <row r="48" spans="2:22" x14ac:dyDescent="0.25">
      <c r="M48" s="152" t="s">
        <v>227</v>
      </c>
      <c r="N48" s="233"/>
      <c r="O48" s="147"/>
      <c r="P48" s="147"/>
      <c r="Q48" s="147"/>
      <c r="R48" s="147">
        <v>1</v>
      </c>
      <c r="S48" s="147">
        <v>3</v>
      </c>
      <c r="T48" s="148">
        <v>15</v>
      </c>
      <c r="U48" s="149">
        <v>19</v>
      </c>
      <c r="V48" s="834"/>
    </row>
    <row r="49" spans="13:22" x14ac:dyDescent="0.25">
      <c r="M49" s="152" t="s">
        <v>225</v>
      </c>
      <c r="N49" s="233"/>
      <c r="O49" s="147"/>
      <c r="P49" s="147"/>
      <c r="Q49" s="147"/>
      <c r="R49" s="147"/>
      <c r="S49" s="147">
        <v>1</v>
      </c>
      <c r="T49" s="148">
        <v>4</v>
      </c>
      <c r="U49" s="149">
        <v>5</v>
      </c>
      <c r="V49" s="834"/>
    </row>
    <row r="50" spans="13:22" x14ac:dyDescent="0.25">
      <c r="M50" s="152" t="s">
        <v>230</v>
      </c>
      <c r="N50" s="233"/>
      <c r="O50" s="147"/>
      <c r="P50" s="147"/>
      <c r="Q50" s="147"/>
      <c r="R50" s="147">
        <v>1</v>
      </c>
      <c r="S50" s="147"/>
      <c r="T50" s="148">
        <v>2</v>
      </c>
      <c r="U50" s="149">
        <v>3</v>
      </c>
      <c r="V50" s="834"/>
    </row>
    <row r="51" spans="13:22" x14ac:dyDescent="0.25">
      <c r="M51" s="152" t="s">
        <v>223</v>
      </c>
      <c r="N51" s="233"/>
      <c r="O51" s="147"/>
      <c r="P51" s="147"/>
      <c r="Q51" s="147"/>
      <c r="R51" s="147"/>
      <c r="S51" s="147">
        <v>2</v>
      </c>
      <c r="T51" s="148">
        <v>1</v>
      </c>
      <c r="U51" s="149">
        <v>3</v>
      </c>
      <c r="V51" s="834"/>
    </row>
    <row r="52" spans="13:22" ht="15.75" thickBot="1" x14ac:dyDescent="0.3">
      <c r="M52" s="165" t="s">
        <v>228</v>
      </c>
      <c r="N52" s="234"/>
      <c r="O52" s="186"/>
      <c r="P52" s="186"/>
      <c r="Q52" s="186"/>
      <c r="R52" s="186">
        <v>1</v>
      </c>
      <c r="S52" s="186"/>
      <c r="T52" s="187">
        <v>1</v>
      </c>
      <c r="U52" s="178">
        <v>2</v>
      </c>
      <c r="V52" s="835"/>
    </row>
    <row r="53" spans="13:22" ht="16.5" thickTop="1" thickBot="1" x14ac:dyDescent="0.3">
      <c r="M53" s="176" t="s">
        <v>234</v>
      </c>
      <c r="N53" s="235"/>
      <c r="O53" s="184"/>
      <c r="P53" s="184"/>
      <c r="Q53" s="184"/>
      <c r="R53" s="184"/>
      <c r="S53" s="184"/>
      <c r="T53" s="185">
        <v>47</v>
      </c>
      <c r="U53" s="179">
        <v>47</v>
      </c>
      <c r="V53" s="173"/>
    </row>
    <row r="54" spans="13:22" ht="16.5" thickTop="1" thickBot="1" x14ac:dyDescent="0.3">
      <c r="M54" s="165" t="s">
        <v>227</v>
      </c>
      <c r="N54" s="234"/>
      <c r="O54" s="186"/>
      <c r="P54" s="186"/>
      <c r="Q54" s="186"/>
      <c r="R54" s="186"/>
      <c r="S54" s="186"/>
      <c r="T54" s="187">
        <v>47</v>
      </c>
      <c r="U54" s="178">
        <v>47</v>
      </c>
      <c r="V54" s="304">
        <f>U53/U59</f>
        <v>7.2586872586872589E-3</v>
      </c>
    </row>
    <row r="55" spans="13:22" ht="16.5" thickTop="1" thickBot="1" x14ac:dyDescent="0.3">
      <c r="M55" s="176" t="s">
        <v>359</v>
      </c>
      <c r="N55" s="235"/>
      <c r="O55" s="184"/>
      <c r="P55" s="184"/>
      <c r="Q55" s="184"/>
      <c r="R55" s="184"/>
      <c r="S55" s="184"/>
      <c r="T55" s="185">
        <v>4</v>
      </c>
      <c r="U55" s="179">
        <v>4</v>
      </c>
      <c r="V55" s="173"/>
    </row>
    <row r="56" spans="13:22" ht="16.5" thickTop="1" thickBot="1" x14ac:dyDescent="0.3">
      <c r="M56" s="165" t="s">
        <v>227</v>
      </c>
      <c r="N56" s="234"/>
      <c r="O56" s="186"/>
      <c r="P56" s="186"/>
      <c r="Q56" s="186"/>
      <c r="R56" s="186"/>
      <c r="S56" s="186"/>
      <c r="T56" s="187">
        <v>4</v>
      </c>
      <c r="U56" s="178">
        <v>4</v>
      </c>
      <c r="V56" s="174">
        <f>U55/U59</f>
        <v>6.177606177606178E-4</v>
      </c>
    </row>
    <row r="57" spans="13:22" ht="16.5" thickTop="1" thickBot="1" x14ac:dyDescent="0.3">
      <c r="M57" s="176" t="s">
        <v>442</v>
      </c>
      <c r="N57" s="235"/>
      <c r="O57" s="184"/>
      <c r="P57" s="184"/>
      <c r="Q57" s="184"/>
      <c r="R57" s="184"/>
      <c r="S57" s="184"/>
      <c r="T57" s="185">
        <v>2</v>
      </c>
      <c r="U57" s="179">
        <v>2</v>
      </c>
    </row>
    <row r="58" spans="13:22" ht="16.5" thickTop="1" thickBot="1" x14ac:dyDescent="0.3">
      <c r="M58" s="165" t="s">
        <v>227</v>
      </c>
      <c r="N58" s="234"/>
      <c r="O58" s="186"/>
      <c r="P58" s="186"/>
      <c r="Q58" s="186"/>
      <c r="R58" s="186"/>
      <c r="S58" s="186"/>
      <c r="T58" s="187">
        <v>2</v>
      </c>
      <c r="U58" s="178">
        <v>2</v>
      </c>
      <c r="V58" s="174">
        <f>U57/U59</f>
        <v>3.088803088803089E-4</v>
      </c>
    </row>
    <row r="59" spans="13:22" ht="16.5" thickTop="1" thickBot="1" x14ac:dyDescent="0.3">
      <c r="M59" s="175" t="s">
        <v>74</v>
      </c>
      <c r="N59" s="300"/>
      <c r="O59" s="301">
        <v>4</v>
      </c>
      <c r="P59" s="301">
        <v>4</v>
      </c>
      <c r="Q59" s="301">
        <v>104</v>
      </c>
      <c r="R59" s="301">
        <v>700</v>
      </c>
      <c r="S59" s="301">
        <v>1662</v>
      </c>
      <c r="T59" s="302">
        <v>4001</v>
      </c>
      <c r="U59" s="303">
        <v>6475</v>
      </c>
    </row>
    <row r="60" spans="13:22" ht="15.75" thickTop="1" x14ac:dyDescent="0.25">
      <c r="M60" s="260"/>
      <c r="N60" s="260"/>
      <c r="O60" s="260"/>
    </row>
  </sheetData>
  <mergeCells count="6">
    <mergeCell ref="V44:V52"/>
    <mergeCell ref="B6:K6"/>
    <mergeCell ref="M6:V6"/>
    <mergeCell ref="V11:V21"/>
    <mergeCell ref="V34:V42"/>
    <mergeCell ref="V23:V32"/>
  </mergeCells>
  <pageMargins left="0.7" right="0.7" top="0.75" bottom="0.75" header="0.3" footer="0.3"/>
  <ignoredErrors>
    <ignoredError sqref="K10:K16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CCC"/>
  </sheetPr>
  <dimension ref="A1:Y37"/>
  <sheetViews>
    <sheetView zoomScale="40" zoomScaleNormal="40" workbookViewId="0">
      <selection activeCell="X17" sqref="X17"/>
    </sheetView>
  </sheetViews>
  <sheetFormatPr baseColWidth="10" defaultColWidth="7.85546875" defaultRowHeight="15" x14ac:dyDescent="0.25"/>
  <cols>
    <col min="1" max="1" width="7.85546875" style="40"/>
    <col min="2" max="2" width="34" style="40" customWidth="1"/>
    <col min="3" max="3" width="15.140625" style="40" customWidth="1"/>
    <col min="4" max="4" width="14.42578125" style="40" customWidth="1"/>
    <col min="5" max="5" width="12.7109375" style="40" customWidth="1"/>
    <col min="6" max="6" width="13.5703125" style="40" customWidth="1"/>
    <col min="7" max="7" width="14.28515625" style="40" customWidth="1"/>
    <col min="8" max="8" width="18.140625" style="40" customWidth="1"/>
    <col min="9" max="9" width="19.42578125" style="40" customWidth="1"/>
    <col min="10" max="10" width="13.85546875" style="40" customWidth="1"/>
    <col min="11" max="11" width="16.85546875" style="40" customWidth="1"/>
    <col min="12" max="12" width="13" style="40" bestFit="1" customWidth="1"/>
    <col min="13" max="13" width="13" style="40" customWidth="1"/>
    <col min="14" max="14" width="14.140625" style="40" customWidth="1"/>
    <col min="15" max="15" width="9.85546875" style="40" bestFit="1" customWidth="1"/>
    <col min="16" max="16" width="12.140625" style="40" customWidth="1"/>
    <col min="17" max="17" width="13.5703125" style="40" bestFit="1" customWidth="1"/>
    <col min="18" max="18" width="14.42578125" style="40" bestFit="1" customWidth="1"/>
    <col min="19" max="19" width="10.140625" style="9" bestFit="1" customWidth="1"/>
    <col min="20" max="20" width="10.42578125" style="9" bestFit="1" customWidth="1"/>
    <col min="21" max="21" width="17.140625" style="40" customWidth="1"/>
    <col min="22" max="22" width="9.7109375" style="40" customWidth="1"/>
    <col min="23" max="23" width="16.140625" style="40" customWidth="1"/>
    <col min="24" max="24" width="13.85546875" style="40" customWidth="1"/>
    <col min="25" max="25" width="15.5703125" style="40" customWidth="1"/>
    <col min="26" max="16384" width="7.85546875" style="40"/>
  </cols>
  <sheetData>
    <row r="1" spans="1:22" x14ac:dyDescent="0.25">
      <c r="A1" s="7" t="s">
        <v>15</v>
      </c>
      <c r="B1" s="3"/>
      <c r="C1" s="3"/>
      <c r="D1" s="3"/>
      <c r="E1" s="3"/>
      <c r="F1" s="3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2"/>
      <c r="T1" s="122"/>
      <c r="U1" s="121"/>
      <c r="V1" s="121"/>
    </row>
    <row r="2" spans="1:22" x14ac:dyDescent="0.25">
      <c r="A2" s="7" t="s">
        <v>16</v>
      </c>
      <c r="B2" s="3"/>
      <c r="C2" s="3"/>
      <c r="D2" s="3"/>
      <c r="E2" s="3"/>
      <c r="F2" s="3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2"/>
      <c r="T2" s="122"/>
      <c r="U2" s="121"/>
      <c r="V2" s="121"/>
    </row>
    <row r="3" spans="1:22" x14ac:dyDescent="0.25">
      <c r="A3" s="7" t="s">
        <v>17</v>
      </c>
      <c r="B3" s="3"/>
      <c r="C3" s="3"/>
      <c r="D3" s="3"/>
      <c r="E3" s="3"/>
      <c r="F3" s="3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2"/>
      <c r="T3" s="122"/>
      <c r="U3" s="121"/>
      <c r="V3" s="121"/>
    </row>
    <row r="4" spans="1:22" x14ac:dyDescent="0.25">
      <c r="A4" s="7" t="s">
        <v>18</v>
      </c>
      <c r="B4" s="3"/>
      <c r="C4" s="3"/>
      <c r="D4" s="3"/>
      <c r="E4" s="3"/>
      <c r="F4" s="3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2"/>
      <c r="T4" s="122"/>
      <c r="U4" s="121"/>
      <c r="V4" s="121"/>
    </row>
    <row r="5" spans="1:22" x14ac:dyDescent="0.25">
      <c r="A5" s="3"/>
      <c r="B5" s="3"/>
      <c r="C5" s="3"/>
      <c r="D5" s="3"/>
      <c r="E5" s="3"/>
      <c r="F5" s="3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2"/>
      <c r="T5" s="122"/>
      <c r="U5" s="121"/>
      <c r="V5" s="121"/>
    </row>
    <row r="6" spans="1:22" ht="18.75" x14ac:dyDescent="0.25">
      <c r="A6" s="841" t="s">
        <v>437</v>
      </c>
      <c r="B6" s="841"/>
      <c r="C6" s="841"/>
      <c r="D6" s="841"/>
      <c r="E6" s="841"/>
      <c r="F6" s="841"/>
      <c r="G6" s="841"/>
      <c r="H6" s="841"/>
      <c r="I6" s="841"/>
      <c r="J6" s="841"/>
      <c r="K6" s="841"/>
      <c r="L6" s="841"/>
      <c r="M6" s="841"/>
      <c r="N6" s="841"/>
      <c r="O6" s="841"/>
      <c r="P6" s="841"/>
      <c r="Q6" s="841"/>
      <c r="R6" s="841"/>
      <c r="S6" s="841"/>
      <c r="T6" s="841"/>
      <c r="U6" s="841"/>
      <c r="V6" s="841"/>
    </row>
    <row r="7" spans="1:22" ht="6.75" customHeight="1" x14ac:dyDescent="0.3">
      <c r="A7" s="663"/>
      <c r="B7" s="664"/>
      <c r="C7" s="664"/>
      <c r="D7" s="664"/>
      <c r="E7" s="664"/>
      <c r="F7" s="664"/>
      <c r="G7" s="664"/>
      <c r="H7" s="664"/>
      <c r="I7" s="664"/>
      <c r="J7" s="664"/>
      <c r="K7" s="663"/>
      <c r="L7" s="663"/>
      <c r="M7" s="663"/>
      <c r="N7" s="663"/>
      <c r="O7" s="663"/>
      <c r="P7" s="663"/>
      <c r="Q7" s="663"/>
      <c r="R7" s="663"/>
      <c r="S7" s="665"/>
      <c r="T7" s="665"/>
      <c r="U7" s="663"/>
      <c r="V7" s="663"/>
    </row>
    <row r="8" spans="1:22" ht="18.75" x14ac:dyDescent="0.3">
      <c r="A8" s="663"/>
      <c r="B8" s="666" t="s">
        <v>438</v>
      </c>
      <c r="C8" s="664"/>
      <c r="D8" s="664"/>
      <c r="E8" s="664"/>
      <c r="F8" s="664"/>
      <c r="G8" s="664"/>
      <c r="H8" s="664"/>
      <c r="I8" s="664"/>
      <c r="J8" s="664"/>
      <c r="K8" s="663"/>
      <c r="L8" s="663"/>
      <c r="M8" s="663"/>
      <c r="N8" s="663"/>
      <c r="O8" s="663"/>
      <c r="P8" s="663"/>
      <c r="Q8" s="663"/>
      <c r="R8" s="663"/>
      <c r="S8" s="665"/>
      <c r="T8" s="665"/>
      <c r="U8" s="663"/>
      <c r="V8" s="663"/>
    </row>
    <row r="9" spans="1:22" ht="5.25" customHeight="1" x14ac:dyDescent="0.3">
      <c r="A9" s="663"/>
      <c r="B9" s="664"/>
      <c r="C9" s="664"/>
      <c r="D9" s="664"/>
      <c r="E9" s="664"/>
      <c r="F9" s="664"/>
      <c r="G9" s="664"/>
      <c r="H9" s="664"/>
      <c r="I9" s="664"/>
      <c r="J9" s="664"/>
      <c r="K9" s="663"/>
      <c r="L9" s="663"/>
      <c r="M9" s="663"/>
      <c r="N9" s="663"/>
      <c r="O9" s="663"/>
      <c r="P9" s="663"/>
      <c r="Q9" s="663"/>
      <c r="R9" s="663"/>
      <c r="S9" s="665"/>
      <c r="T9" s="665"/>
      <c r="U9" s="663"/>
      <c r="V9" s="663"/>
    </row>
    <row r="10" spans="1:22" ht="18.75" x14ac:dyDescent="0.3">
      <c r="A10" s="663"/>
      <c r="B10" s="667" t="s">
        <v>22</v>
      </c>
      <c r="C10" s="667"/>
      <c r="D10" s="666"/>
      <c r="E10" s="664"/>
      <c r="F10" s="664"/>
      <c r="G10" s="664"/>
      <c r="H10" s="664"/>
      <c r="I10" s="664"/>
      <c r="J10" s="664"/>
      <c r="K10" s="663"/>
      <c r="L10" s="663"/>
      <c r="M10" s="663"/>
      <c r="N10" s="663"/>
      <c r="O10" s="663"/>
      <c r="P10" s="663"/>
      <c r="Q10" s="663"/>
      <c r="R10" s="663"/>
      <c r="S10" s="665"/>
      <c r="T10" s="665"/>
      <c r="U10" s="663"/>
      <c r="V10" s="663"/>
    </row>
    <row r="11" spans="1:22" ht="6" customHeight="1" x14ac:dyDescent="0.25">
      <c r="A11" s="123"/>
      <c r="B11" s="124"/>
      <c r="C11" s="124"/>
      <c r="D11" s="124"/>
      <c r="E11" s="124"/>
      <c r="F11" s="124"/>
      <c r="G11" s="124"/>
      <c r="H11" s="124"/>
      <c r="I11" s="124"/>
      <c r="J11" s="124"/>
      <c r="K11" s="121"/>
      <c r="L11" s="121"/>
      <c r="M11" s="121"/>
      <c r="N11" s="121"/>
      <c r="O11" s="121"/>
      <c r="P11" s="121"/>
      <c r="Q11" s="121"/>
      <c r="R11" s="121"/>
      <c r="S11" s="122"/>
      <c r="T11" s="122"/>
      <c r="U11" s="121"/>
      <c r="V11" s="121"/>
    </row>
    <row r="12" spans="1:22" ht="15.75" thickBot="1" x14ac:dyDescent="0.3">
      <c r="A12" s="123"/>
      <c r="B12" s="124"/>
      <c r="C12" s="842" t="s">
        <v>36</v>
      </c>
      <c r="D12" s="842"/>
      <c r="E12" s="842"/>
      <c r="F12" s="842"/>
      <c r="G12" s="842"/>
      <c r="H12" s="842"/>
      <c r="I12" s="842"/>
      <c r="J12" s="842"/>
      <c r="K12" s="842"/>
      <c r="L12" s="842"/>
      <c r="M12" s="842"/>
      <c r="N12" s="842"/>
      <c r="O12" s="842"/>
      <c r="P12" s="842"/>
      <c r="Q12" s="842"/>
      <c r="R12" s="842"/>
      <c r="S12" s="122"/>
      <c r="T12" s="122"/>
      <c r="U12" s="121"/>
      <c r="V12" s="121"/>
    </row>
    <row r="13" spans="1:22" ht="16.5" thickTop="1" thickBot="1" x14ac:dyDescent="0.3">
      <c r="A13" s="125"/>
      <c r="B13" s="124"/>
      <c r="C13" s="781" t="s">
        <v>164</v>
      </c>
      <c r="D13" s="782"/>
      <c r="E13" s="782"/>
      <c r="F13" s="782"/>
      <c r="G13" s="782"/>
      <c r="H13" s="782"/>
      <c r="I13" s="782"/>
      <c r="J13" s="782"/>
      <c r="K13" s="783"/>
      <c r="L13" s="784" t="s">
        <v>165</v>
      </c>
      <c r="M13" s="785"/>
      <c r="N13" s="785"/>
      <c r="O13" s="785"/>
      <c r="P13" s="785"/>
      <c r="Q13" s="785"/>
      <c r="R13" s="785"/>
      <c r="S13" s="785"/>
      <c r="T13" s="786"/>
      <c r="U13" s="121"/>
      <c r="V13" s="121"/>
    </row>
    <row r="14" spans="1:22" ht="39.75" customHeight="1" thickTop="1" thickBot="1" x14ac:dyDescent="0.3">
      <c r="A14" s="125"/>
      <c r="B14" s="64" t="s">
        <v>32</v>
      </c>
      <c r="C14" s="655" t="s">
        <v>6</v>
      </c>
      <c r="D14" s="656" t="s">
        <v>8</v>
      </c>
      <c r="E14" s="656" t="s">
        <v>4</v>
      </c>
      <c r="F14" s="656" t="s">
        <v>390</v>
      </c>
      <c r="G14" s="656" t="s">
        <v>2</v>
      </c>
      <c r="H14" s="656" t="s">
        <v>436</v>
      </c>
      <c r="I14" s="656" t="s">
        <v>415</v>
      </c>
      <c r="J14" s="657" t="s">
        <v>418</v>
      </c>
      <c r="K14" s="658" t="s">
        <v>417</v>
      </c>
      <c r="L14" s="659" t="s">
        <v>8</v>
      </c>
      <c r="M14" s="660" t="s">
        <v>6</v>
      </c>
      <c r="N14" s="660" t="s">
        <v>7</v>
      </c>
      <c r="O14" s="660" t="s">
        <v>4</v>
      </c>
      <c r="P14" s="660" t="s">
        <v>5</v>
      </c>
      <c r="Q14" s="660" t="s">
        <v>3</v>
      </c>
      <c r="R14" s="660" t="s">
        <v>2</v>
      </c>
      <c r="S14" s="661" t="s">
        <v>9</v>
      </c>
      <c r="T14" s="662" t="s">
        <v>390</v>
      </c>
      <c r="U14" s="74" t="s">
        <v>33</v>
      </c>
      <c r="V14" s="121"/>
    </row>
    <row r="15" spans="1:22" ht="15.75" thickTop="1" x14ac:dyDescent="0.25">
      <c r="A15" s="125"/>
      <c r="B15" s="69">
        <v>2013</v>
      </c>
      <c r="C15" s="73"/>
      <c r="D15" s="65"/>
      <c r="E15" s="65"/>
      <c r="F15" s="65"/>
      <c r="G15" s="65"/>
      <c r="H15" s="65"/>
      <c r="I15" s="65"/>
      <c r="J15" s="65"/>
      <c r="K15" s="65"/>
      <c r="L15" s="76">
        <v>1</v>
      </c>
      <c r="M15" s="66"/>
      <c r="N15" s="66">
        <v>0</v>
      </c>
      <c r="O15" s="66">
        <v>0</v>
      </c>
      <c r="P15" s="66">
        <v>0</v>
      </c>
      <c r="Q15" s="66">
        <v>0</v>
      </c>
      <c r="R15" s="66"/>
      <c r="S15" s="66">
        <v>0</v>
      </c>
      <c r="T15" s="77"/>
      <c r="U15" s="75">
        <f t="shared" ref="U15:U21" si="0">SUM(C15:S15)</f>
        <v>1</v>
      </c>
      <c r="V15" s="121"/>
    </row>
    <row r="16" spans="1:22" ht="18.75" x14ac:dyDescent="0.3">
      <c r="A16" s="125"/>
      <c r="B16" s="70">
        <v>2014</v>
      </c>
      <c r="C16" s="670">
        <v>881</v>
      </c>
      <c r="D16" s="671">
        <v>168</v>
      </c>
      <c r="E16" s="671">
        <v>116</v>
      </c>
      <c r="F16" s="671">
        <v>127</v>
      </c>
      <c r="G16" s="671">
        <v>3</v>
      </c>
      <c r="H16" s="671"/>
      <c r="I16" s="671"/>
      <c r="J16" s="671"/>
      <c r="K16" s="671"/>
      <c r="L16" s="670">
        <v>33</v>
      </c>
      <c r="M16" s="671"/>
      <c r="N16" s="671">
        <v>0</v>
      </c>
      <c r="O16" s="671">
        <v>7</v>
      </c>
      <c r="P16" s="671">
        <v>4</v>
      </c>
      <c r="Q16" s="671">
        <v>11</v>
      </c>
      <c r="R16" s="671"/>
      <c r="S16" s="671">
        <v>7</v>
      </c>
      <c r="T16" s="672"/>
      <c r="U16" s="673">
        <f t="shared" si="0"/>
        <v>1357</v>
      </c>
      <c r="V16" s="121"/>
    </row>
    <row r="17" spans="1:25" ht="18.75" x14ac:dyDescent="0.3">
      <c r="A17" s="125"/>
      <c r="B17" s="71">
        <v>2015</v>
      </c>
      <c r="C17" s="674">
        <v>1503</v>
      </c>
      <c r="D17" s="675">
        <v>779</v>
      </c>
      <c r="E17" s="675">
        <v>230</v>
      </c>
      <c r="F17" s="675">
        <v>159</v>
      </c>
      <c r="G17" s="675">
        <v>2</v>
      </c>
      <c r="H17" s="675"/>
      <c r="I17" s="675"/>
      <c r="J17" s="675"/>
      <c r="K17" s="675"/>
      <c r="L17" s="676">
        <v>38</v>
      </c>
      <c r="M17" s="677"/>
      <c r="N17" s="675">
        <v>5</v>
      </c>
      <c r="O17" s="675">
        <v>99</v>
      </c>
      <c r="P17" s="675">
        <v>2</v>
      </c>
      <c r="Q17" s="675">
        <v>1</v>
      </c>
      <c r="R17" s="675"/>
      <c r="S17" s="675">
        <v>2</v>
      </c>
      <c r="T17" s="678"/>
      <c r="U17" s="673">
        <f t="shared" si="0"/>
        <v>2820</v>
      </c>
      <c r="V17" s="121"/>
    </row>
    <row r="18" spans="1:25" ht="18.75" x14ac:dyDescent="0.3">
      <c r="A18" s="125"/>
      <c r="B18" s="71">
        <v>2016</v>
      </c>
      <c r="C18" s="674">
        <v>2510</v>
      </c>
      <c r="D18" s="675">
        <v>829</v>
      </c>
      <c r="E18" s="675">
        <v>986</v>
      </c>
      <c r="F18" s="675">
        <v>235</v>
      </c>
      <c r="G18" s="675">
        <v>33</v>
      </c>
      <c r="H18" s="675"/>
      <c r="I18" s="675"/>
      <c r="J18" s="675"/>
      <c r="K18" s="675"/>
      <c r="L18" s="676">
        <v>120</v>
      </c>
      <c r="M18" s="677"/>
      <c r="N18" s="675">
        <v>1</v>
      </c>
      <c r="O18" s="675">
        <v>192</v>
      </c>
      <c r="P18" s="675">
        <v>8</v>
      </c>
      <c r="Q18" s="675">
        <v>1</v>
      </c>
      <c r="R18" s="675"/>
      <c r="S18" s="675">
        <v>28</v>
      </c>
      <c r="T18" s="678">
        <v>2</v>
      </c>
      <c r="U18" s="673">
        <f t="shared" si="0"/>
        <v>4943</v>
      </c>
      <c r="V18" s="121"/>
    </row>
    <row r="19" spans="1:25" ht="18.75" x14ac:dyDescent="0.3">
      <c r="A19" s="125"/>
      <c r="B19" s="71">
        <v>2017</v>
      </c>
      <c r="C19" s="674">
        <v>3314</v>
      </c>
      <c r="D19" s="675">
        <v>1329</v>
      </c>
      <c r="E19" s="675">
        <v>2435</v>
      </c>
      <c r="F19" s="675">
        <v>526</v>
      </c>
      <c r="G19" s="675">
        <v>66</v>
      </c>
      <c r="H19" s="675"/>
      <c r="I19" s="675">
        <v>1</v>
      </c>
      <c r="J19" s="675"/>
      <c r="K19" s="675"/>
      <c r="L19" s="676">
        <v>221</v>
      </c>
      <c r="M19" s="677"/>
      <c r="N19" s="675">
        <v>8</v>
      </c>
      <c r="O19" s="675">
        <v>630</v>
      </c>
      <c r="P19" s="675"/>
      <c r="Q19" s="675"/>
      <c r="R19" s="675"/>
      <c r="S19" s="675"/>
      <c r="T19" s="678"/>
      <c r="U19" s="673">
        <f t="shared" si="0"/>
        <v>8530</v>
      </c>
      <c r="V19" s="121"/>
    </row>
    <row r="20" spans="1:25" ht="19.5" thickBot="1" x14ac:dyDescent="0.35">
      <c r="A20" s="125"/>
      <c r="B20" s="72">
        <v>2018</v>
      </c>
      <c r="C20" s="679">
        <v>194</v>
      </c>
      <c r="D20" s="680">
        <v>112</v>
      </c>
      <c r="E20" s="680">
        <v>110</v>
      </c>
      <c r="F20" s="680">
        <v>0</v>
      </c>
      <c r="G20" s="680">
        <v>2</v>
      </c>
      <c r="H20" s="680"/>
      <c r="I20" s="680"/>
      <c r="J20" s="680"/>
      <c r="K20" s="680"/>
      <c r="L20" s="681">
        <v>6</v>
      </c>
      <c r="M20" s="682"/>
      <c r="N20" s="680"/>
      <c r="O20" s="680">
        <v>23</v>
      </c>
      <c r="P20" s="680"/>
      <c r="Q20" s="680"/>
      <c r="R20" s="680"/>
      <c r="S20" s="680"/>
      <c r="T20" s="683"/>
      <c r="U20" s="684">
        <f t="shared" si="0"/>
        <v>447</v>
      </c>
      <c r="V20" s="121"/>
    </row>
    <row r="21" spans="1:25" ht="26.25" thickTop="1" x14ac:dyDescent="0.25">
      <c r="A21" s="125"/>
      <c r="B21" s="211" t="s">
        <v>34</v>
      </c>
      <c r="C21" s="685">
        <f>SUM(C16:C20)</f>
        <v>8402</v>
      </c>
      <c r="D21" s="686">
        <f t="shared" ref="D21:F21" si="1">SUM(D16:D20)</f>
        <v>3217</v>
      </c>
      <c r="E21" s="686">
        <f t="shared" si="1"/>
        <v>3877</v>
      </c>
      <c r="F21" s="686">
        <f t="shared" si="1"/>
        <v>1047</v>
      </c>
      <c r="G21" s="686">
        <f>SUM(G16:G20)</f>
        <v>106</v>
      </c>
      <c r="H21" s="686"/>
      <c r="I21" s="686">
        <f>SUM(I16:I20)</f>
        <v>1</v>
      </c>
      <c r="J21" s="686"/>
      <c r="K21" s="686"/>
      <c r="L21" s="685">
        <f>SUM(L15:L20)</f>
        <v>419</v>
      </c>
      <c r="M21" s="686"/>
      <c r="N21" s="686">
        <f t="shared" ref="N21:Q21" si="2">SUM(N15:N20)</f>
        <v>14</v>
      </c>
      <c r="O21" s="686">
        <f t="shared" si="2"/>
        <v>951</v>
      </c>
      <c r="P21" s="686">
        <f t="shared" si="2"/>
        <v>14</v>
      </c>
      <c r="Q21" s="686">
        <f t="shared" si="2"/>
        <v>13</v>
      </c>
      <c r="R21" s="686"/>
      <c r="S21" s="686">
        <f>SUM(S15:S20)</f>
        <v>37</v>
      </c>
      <c r="T21" s="687">
        <v>2</v>
      </c>
      <c r="U21" s="688">
        <f t="shared" si="0"/>
        <v>18098</v>
      </c>
      <c r="V21" s="121"/>
    </row>
    <row r="22" spans="1:25" ht="27" customHeight="1" thickBot="1" x14ac:dyDescent="0.3">
      <c r="A22" s="125"/>
      <c r="B22" s="212" t="s">
        <v>35</v>
      </c>
      <c r="C22" s="689">
        <f>C15+C16</f>
        <v>881</v>
      </c>
      <c r="D22" s="690">
        <f t="shared" ref="D22:U22" si="3">D15+D16</f>
        <v>168</v>
      </c>
      <c r="E22" s="690">
        <f t="shared" si="3"/>
        <v>116</v>
      </c>
      <c r="F22" s="690">
        <f t="shared" si="3"/>
        <v>127</v>
      </c>
      <c r="G22" s="690">
        <f>G15+G16</f>
        <v>3</v>
      </c>
      <c r="H22" s="690"/>
      <c r="I22" s="690">
        <f>I15+I16</f>
        <v>0</v>
      </c>
      <c r="J22" s="690"/>
      <c r="K22" s="690"/>
      <c r="L22" s="689">
        <f t="shared" si="3"/>
        <v>34</v>
      </c>
      <c r="M22" s="690"/>
      <c r="N22" s="690">
        <f t="shared" si="3"/>
        <v>0</v>
      </c>
      <c r="O22" s="690">
        <f t="shared" si="3"/>
        <v>7</v>
      </c>
      <c r="P22" s="690">
        <f t="shared" si="3"/>
        <v>4</v>
      </c>
      <c r="Q22" s="690">
        <f t="shared" si="3"/>
        <v>11</v>
      </c>
      <c r="R22" s="690"/>
      <c r="S22" s="690">
        <f t="shared" si="3"/>
        <v>7</v>
      </c>
      <c r="T22" s="691">
        <v>0</v>
      </c>
      <c r="U22" s="692">
        <f t="shared" si="3"/>
        <v>1358</v>
      </c>
      <c r="V22" s="121"/>
    </row>
    <row r="23" spans="1:25" ht="15.75" thickTop="1" x14ac:dyDescent="0.25">
      <c r="A23" s="123"/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839" t="s">
        <v>419</v>
      </c>
      <c r="X23" s="839" t="s">
        <v>412</v>
      </c>
      <c r="Y23" s="839" t="s">
        <v>411</v>
      </c>
    </row>
    <row r="24" spans="1:25" s="260" customFormat="1" ht="15.75" thickBot="1" x14ac:dyDescent="0.3">
      <c r="A24" s="123"/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840"/>
      <c r="X24" s="840"/>
      <c r="Y24" s="840"/>
    </row>
    <row r="25" spans="1:25" ht="20.25" thickTop="1" thickBot="1" x14ac:dyDescent="0.35">
      <c r="A25" s="123"/>
      <c r="B25" s="205" t="s">
        <v>166</v>
      </c>
      <c r="C25" s="693">
        <v>839</v>
      </c>
      <c r="D25" s="693">
        <v>93</v>
      </c>
      <c r="E25" s="693">
        <v>93</v>
      </c>
      <c r="F25" s="693">
        <v>72</v>
      </c>
      <c r="G25" s="693">
        <v>3</v>
      </c>
      <c r="H25" s="693"/>
      <c r="I25" s="693">
        <v>0</v>
      </c>
      <c r="J25" s="693"/>
      <c r="K25" s="694"/>
      <c r="L25" s="695">
        <v>29</v>
      </c>
      <c r="M25" s="693"/>
      <c r="N25" s="693">
        <v>0</v>
      </c>
      <c r="O25" s="693">
        <v>7</v>
      </c>
      <c r="P25" s="693">
        <v>4</v>
      </c>
      <c r="Q25" s="693">
        <v>11</v>
      </c>
      <c r="R25" s="694"/>
      <c r="S25" s="694">
        <v>7</v>
      </c>
      <c r="T25" s="696"/>
      <c r="U25" s="696">
        <f t="shared" ref="U25:U32" si="4">SUM(C25:S25)</f>
        <v>1158</v>
      </c>
      <c r="V25" s="663"/>
      <c r="W25" s="697">
        <f>U22-U25</f>
        <v>200</v>
      </c>
      <c r="X25" s="698">
        <f>U25/U22</f>
        <v>0.8527245949926362</v>
      </c>
      <c r="Y25" s="698">
        <f>1-X25</f>
        <v>0.1472754050073638</v>
      </c>
    </row>
    <row r="26" spans="1:25" ht="20.25" thickTop="1" thickBot="1" x14ac:dyDescent="0.35">
      <c r="A26" s="123"/>
      <c r="B26" s="206" t="s">
        <v>167</v>
      </c>
      <c r="C26" s="699">
        <v>71</v>
      </c>
      <c r="D26" s="699">
        <v>88</v>
      </c>
      <c r="E26" s="699">
        <v>29</v>
      </c>
      <c r="F26" s="699">
        <v>76</v>
      </c>
      <c r="G26" s="700">
        <v>2</v>
      </c>
      <c r="H26" s="700"/>
      <c r="I26" s="700">
        <v>0</v>
      </c>
      <c r="J26" s="700"/>
      <c r="K26" s="701"/>
      <c r="L26" s="702">
        <v>5</v>
      </c>
      <c r="M26" s="699"/>
      <c r="N26" s="700">
        <v>0</v>
      </c>
      <c r="O26" s="700">
        <v>0</v>
      </c>
      <c r="P26" s="700">
        <v>0</v>
      </c>
      <c r="Q26" s="700">
        <v>0</v>
      </c>
      <c r="R26" s="701"/>
      <c r="S26" s="701">
        <v>0</v>
      </c>
      <c r="T26" s="703"/>
      <c r="U26" s="704">
        <f t="shared" si="4"/>
        <v>271</v>
      </c>
      <c r="V26" s="705"/>
      <c r="W26" s="128"/>
      <c r="X26" s="128"/>
      <c r="Y26" s="128"/>
    </row>
    <row r="27" spans="1:25" ht="20.25" thickTop="1" thickBot="1" x14ac:dyDescent="0.35">
      <c r="A27" s="123"/>
      <c r="B27" s="668" t="s">
        <v>179</v>
      </c>
      <c r="C27" s="706">
        <v>808</v>
      </c>
      <c r="D27" s="706">
        <v>78</v>
      </c>
      <c r="E27" s="706">
        <v>82</v>
      </c>
      <c r="F27" s="706">
        <v>64</v>
      </c>
      <c r="G27" s="707"/>
      <c r="H27" s="707"/>
      <c r="I27" s="707"/>
      <c r="J27" s="707"/>
      <c r="K27" s="708"/>
      <c r="L27" s="709">
        <v>27</v>
      </c>
      <c r="M27" s="706"/>
      <c r="N27" s="707"/>
      <c r="O27" s="707">
        <v>7</v>
      </c>
      <c r="P27" s="707">
        <v>4</v>
      </c>
      <c r="Q27" s="707">
        <v>11</v>
      </c>
      <c r="R27" s="708"/>
      <c r="S27" s="708">
        <v>7</v>
      </c>
      <c r="T27" s="710"/>
      <c r="U27" s="711">
        <f t="shared" si="4"/>
        <v>1088</v>
      </c>
      <c r="V27" s="705"/>
      <c r="W27" s="712">
        <f>U22-U27</f>
        <v>270</v>
      </c>
      <c r="X27" s="698">
        <f>U27/U22</f>
        <v>0.80117820324005895</v>
      </c>
      <c r="Y27" s="698">
        <f>1-X27</f>
        <v>0.19882179675994105</v>
      </c>
    </row>
    <row r="28" spans="1:25" ht="20.25" thickTop="1" thickBot="1" x14ac:dyDescent="0.35">
      <c r="A28" s="123"/>
      <c r="B28" s="669" t="s">
        <v>180</v>
      </c>
      <c r="C28" s="713">
        <v>97</v>
      </c>
      <c r="D28" s="713">
        <v>94</v>
      </c>
      <c r="E28" s="713">
        <v>40</v>
      </c>
      <c r="F28" s="713">
        <v>84</v>
      </c>
      <c r="G28" s="714"/>
      <c r="H28" s="714"/>
      <c r="I28" s="714"/>
      <c r="J28" s="714"/>
      <c r="K28" s="715"/>
      <c r="L28" s="716">
        <v>7</v>
      </c>
      <c r="M28" s="713"/>
      <c r="N28" s="714"/>
      <c r="O28" s="714"/>
      <c r="P28" s="714"/>
      <c r="Q28" s="714"/>
      <c r="R28" s="715">
        <v>5</v>
      </c>
      <c r="S28" s="715"/>
      <c r="T28" s="717"/>
      <c r="U28" s="718">
        <f t="shared" si="4"/>
        <v>327</v>
      </c>
      <c r="V28" s="705"/>
      <c r="W28" s="128"/>
      <c r="X28" s="128"/>
      <c r="Y28" s="128"/>
    </row>
    <row r="29" spans="1:25" ht="20.25" thickTop="1" thickBot="1" x14ac:dyDescent="0.35">
      <c r="A29" s="123"/>
      <c r="B29" s="205" t="s">
        <v>186</v>
      </c>
      <c r="C29" s="693">
        <v>653</v>
      </c>
      <c r="D29" s="693">
        <v>60</v>
      </c>
      <c r="E29" s="693">
        <v>25</v>
      </c>
      <c r="F29" s="693">
        <v>54</v>
      </c>
      <c r="G29" s="719"/>
      <c r="H29" s="719"/>
      <c r="I29" s="719"/>
      <c r="J29" s="719"/>
      <c r="K29" s="720"/>
      <c r="L29" s="695">
        <v>22</v>
      </c>
      <c r="M29" s="693"/>
      <c r="N29" s="719"/>
      <c r="O29" s="719">
        <v>7</v>
      </c>
      <c r="P29" s="719">
        <v>4</v>
      </c>
      <c r="Q29" s="719">
        <v>10</v>
      </c>
      <c r="R29" s="720"/>
      <c r="S29" s="720">
        <v>7</v>
      </c>
      <c r="T29" s="721"/>
      <c r="U29" s="696">
        <f t="shared" si="4"/>
        <v>842</v>
      </c>
      <c r="V29" s="705"/>
      <c r="W29" s="697">
        <f>U22-U29</f>
        <v>516</v>
      </c>
      <c r="X29" s="698">
        <f>U29/U22</f>
        <v>0.62002945508100149</v>
      </c>
      <c r="Y29" s="698">
        <f>1-X29</f>
        <v>0.37997054491899851</v>
      </c>
    </row>
    <row r="30" spans="1:25" ht="20.25" thickTop="1" thickBot="1" x14ac:dyDescent="0.35">
      <c r="A30" s="123"/>
      <c r="B30" s="206" t="s">
        <v>187</v>
      </c>
      <c r="C30" s="699">
        <v>203</v>
      </c>
      <c r="D30" s="699">
        <v>111</v>
      </c>
      <c r="E30" s="699">
        <v>68</v>
      </c>
      <c r="F30" s="699">
        <v>94</v>
      </c>
      <c r="G30" s="700">
        <v>5</v>
      </c>
      <c r="H30" s="700"/>
      <c r="I30" s="700"/>
      <c r="J30" s="700"/>
      <c r="K30" s="701"/>
      <c r="L30" s="702">
        <v>12</v>
      </c>
      <c r="M30" s="699"/>
      <c r="N30" s="700"/>
      <c r="O30" s="700"/>
      <c r="P30" s="700"/>
      <c r="Q30" s="700"/>
      <c r="R30" s="701">
        <v>5</v>
      </c>
      <c r="S30" s="701"/>
      <c r="T30" s="703"/>
      <c r="U30" s="704">
        <f t="shared" si="4"/>
        <v>498</v>
      </c>
      <c r="V30" s="705"/>
      <c r="W30" s="128"/>
      <c r="X30" s="128"/>
      <c r="Y30" s="128"/>
    </row>
    <row r="31" spans="1:25" ht="20.25" thickTop="1" thickBot="1" x14ac:dyDescent="0.35">
      <c r="A31" s="123"/>
      <c r="B31" s="668" t="s">
        <v>262</v>
      </c>
      <c r="C31" s="706">
        <v>357</v>
      </c>
      <c r="D31" s="706">
        <v>43</v>
      </c>
      <c r="E31" s="706">
        <v>15</v>
      </c>
      <c r="F31" s="706">
        <v>36</v>
      </c>
      <c r="G31" s="707"/>
      <c r="H31" s="707"/>
      <c r="I31" s="707"/>
      <c r="J31" s="707"/>
      <c r="K31" s="708"/>
      <c r="L31" s="709">
        <v>22</v>
      </c>
      <c r="M31" s="706"/>
      <c r="N31" s="707"/>
      <c r="O31" s="707">
        <v>7</v>
      </c>
      <c r="P31" s="707">
        <v>4</v>
      </c>
      <c r="Q31" s="707">
        <v>10</v>
      </c>
      <c r="R31" s="708"/>
      <c r="S31" s="708">
        <v>7</v>
      </c>
      <c r="T31" s="710"/>
      <c r="U31" s="711">
        <f t="shared" si="4"/>
        <v>501</v>
      </c>
      <c r="V31" s="705"/>
      <c r="W31" s="712">
        <f>U22-U31</f>
        <v>857</v>
      </c>
      <c r="X31" s="698">
        <f>U31/U22</f>
        <v>0.36892488954344627</v>
      </c>
      <c r="Y31" s="698">
        <f>1-X31</f>
        <v>0.63107511045655373</v>
      </c>
    </row>
    <row r="32" spans="1:25" ht="20.25" thickTop="1" thickBot="1" x14ac:dyDescent="0.35">
      <c r="A32" s="123"/>
      <c r="B32" s="669" t="s">
        <v>263</v>
      </c>
      <c r="C32" s="713">
        <v>429</v>
      </c>
      <c r="D32" s="713">
        <v>128</v>
      </c>
      <c r="E32" s="713">
        <v>78</v>
      </c>
      <c r="F32" s="713">
        <v>111</v>
      </c>
      <c r="G32" s="714">
        <v>5</v>
      </c>
      <c r="H32" s="714"/>
      <c r="I32" s="714"/>
      <c r="J32" s="714"/>
      <c r="K32" s="715"/>
      <c r="L32" s="716">
        <v>13</v>
      </c>
      <c r="M32" s="713"/>
      <c r="N32" s="714"/>
      <c r="O32" s="714"/>
      <c r="P32" s="714"/>
      <c r="Q32" s="714">
        <v>1</v>
      </c>
      <c r="R32" s="715"/>
      <c r="S32" s="715"/>
      <c r="T32" s="717"/>
      <c r="U32" s="718">
        <f t="shared" si="4"/>
        <v>765</v>
      </c>
      <c r="V32" s="705"/>
      <c r="W32" s="128"/>
      <c r="X32" s="128"/>
      <c r="Y32" s="128"/>
    </row>
    <row r="33" spans="1:25" ht="20.25" thickTop="1" thickBot="1" x14ac:dyDescent="0.35">
      <c r="A33" s="123"/>
      <c r="B33" s="205" t="s">
        <v>361</v>
      </c>
      <c r="C33" s="693">
        <v>274</v>
      </c>
      <c r="D33" s="693">
        <v>27</v>
      </c>
      <c r="E33" s="693">
        <v>14</v>
      </c>
      <c r="F33" s="693">
        <v>15</v>
      </c>
      <c r="G33" s="719"/>
      <c r="H33" s="719"/>
      <c r="I33" s="719"/>
      <c r="J33" s="719"/>
      <c r="K33" s="720"/>
      <c r="L33" s="695">
        <v>22</v>
      </c>
      <c r="M33" s="693"/>
      <c r="N33" s="719"/>
      <c r="O33" s="719">
        <v>7</v>
      </c>
      <c r="P33" s="719">
        <v>4</v>
      </c>
      <c r="Q33" s="719">
        <v>10</v>
      </c>
      <c r="R33" s="720"/>
      <c r="S33" s="720">
        <v>2</v>
      </c>
      <c r="T33" s="721"/>
      <c r="U33" s="696">
        <f t="shared" ref="U33:U34" si="5">SUM(C33:S33)</f>
        <v>375</v>
      </c>
      <c r="V33" s="705"/>
      <c r="W33" s="697">
        <f>U22-U33</f>
        <v>983</v>
      </c>
      <c r="X33" s="698">
        <f>U33/U22</f>
        <v>0.27614138438880709</v>
      </c>
      <c r="Y33" s="698">
        <f>1-X33</f>
        <v>0.72385861561119291</v>
      </c>
    </row>
    <row r="34" spans="1:25" ht="20.25" thickTop="1" thickBot="1" x14ac:dyDescent="0.35">
      <c r="A34" s="121"/>
      <c r="B34" s="206" t="s">
        <v>362</v>
      </c>
      <c r="C34" s="699">
        <v>306</v>
      </c>
      <c r="D34" s="699">
        <v>247</v>
      </c>
      <c r="E34" s="699">
        <v>156</v>
      </c>
      <c r="F34" s="699">
        <v>41</v>
      </c>
      <c r="G34" s="700">
        <v>7</v>
      </c>
      <c r="H34" s="700">
        <v>2</v>
      </c>
      <c r="I34" s="700"/>
      <c r="J34" s="700">
        <v>7</v>
      </c>
      <c r="K34" s="701">
        <v>9</v>
      </c>
      <c r="L34" s="702">
        <v>36</v>
      </c>
      <c r="M34" s="699">
        <v>50</v>
      </c>
      <c r="N34" s="700"/>
      <c r="O34" s="700">
        <v>22</v>
      </c>
      <c r="P34" s="700">
        <v>2</v>
      </c>
      <c r="Q34" s="700">
        <v>4</v>
      </c>
      <c r="R34" s="701"/>
      <c r="S34" s="701">
        <v>1</v>
      </c>
      <c r="T34" s="703"/>
      <c r="U34" s="704">
        <f t="shared" si="5"/>
        <v>890</v>
      </c>
      <c r="V34" s="705"/>
      <c r="W34" s="128"/>
      <c r="X34" s="128"/>
      <c r="Y34" s="128"/>
    </row>
    <row r="35" spans="1:25" ht="20.25" thickTop="1" thickBot="1" x14ac:dyDescent="0.35">
      <c r="A35" s="121"/>
      <c r="B35" s="668" t="s">
        <v>388</v>
      </c>
      <c r="C35" s="706">
        <v>142</v>
      </c>
      <c r="D35" s="706">
        <v>17</v>
      </c>
      <c r="E35" s="706">
        <v>14</v>
      </c>
      <c r="F35" s="706">
        <v>13</v>
      </c>
      <c r="G35" s="707">
        <v>0</v>
      </c>
      <c r="H35" s="707">
        <v>0</v>
      </c>
      <c r="I35" s="707">
        <v>0</v>
      </c>
      <c r="J35" s="707">
        <v>0</v>
      </c>
      <c r="K35" s="708">
        <v>0</v>
      </c>
      <c r="L35" s="709">
        <v>20</v>
      </c>
      <c r="M35" s="706">
        <v>0</v>
      </c>
      <c r="N35" s="707">
        <v>0</v>
      </c>
      <c r="O35" s="707">
        <v>7</v>
      </c>
      <c r="P35" s="707">
        <v>4</v>
      </c>
      <c r="Q35" s="707">
        <v>10</v>
      </c>
      <c r="R35" s="708">
        <v>0</v>
      </c>
      <c r="S35" s="708">
        <v>2</v>
      </c>
      <c r="T35" s="710">
        <v>0</v>
      </c>
      <c r="U35" s="711">
        <f>SUM(C35:T35)</f>
        <v>229</v>
      </c>
      <c r="V35" s="705"/>
      <c r="W35" s="712">
        <f>U22-U35</f>
        <v>1129</v>
      </c>
      <c r="X35" s="698">
        <f>U35/U22</f>
        <v>0.16863033873343153</v>
      </c>
      <c r="Y35" s="698">
        <f>1-X35</f>
        <v>0.83136966126656842</v>
      </c>
    </row>
    <row r="36" spans="1:25" ht="20.25" thickTop="1" thickBot="1" x14ac:dyDescent="0.35">
      <c r="B36" s="669" t="s">
        <v>389</v>
      </c>
      <c r="C36" s="713">
        <v>62</v>
      </c>
      <c r="D36" s="713">
        <v>4</v>
      </c>
      <c r="E36" s="713">
        <v>79</v>
      </c>
      <c r="F36" s="713">
        <v>4</v>
      </c>
      <c r="G36" s="714">
        <v>1</v>
      </c>
      <c r="H36" s="714">
        <v>0</v>
      </c>
      <c r="I36" s="714">
        <v>0</v>
      </c>
      <c r="J36" s="714">
        <v>0</v>
      </c>
      <c r="K36" s="715">
        <v>0</v>
      </c>
      <c r="L36" s="716">
        <v>1</v>
      </c>
      <c r="M36" s="713">
        <v>4</v>
      </c>
      <c r="N36" s="714">
        <v>2</v>
      </c>
      <c r="O36" s="714">
        <v>2</v>
      </c>
      <c r="P36" s="714">
        <v>0</v>
      </c>
      <c r="Q36" s="714">
        <v>1</v>
      </c>
      <c r="R36" s="715">
        <v>0</v>
      </c>
      <c r="S36" s="715">
        <v>3</v>
      </c>
      <c r="T36" s="717">
        <v>2</v>
      </c>
      <c r="U36" s="718">
        <f>SUM(C36:T36)</f>
        <v>165</v>
      </c>
      <c r="V36" s="705"/>
      <c r="W36" s="128"/>
      <c r="X36" s="128"/>
      <c r="Y36" s="128"/>
    </row>
    <row r="37" spans="1:25" ht="15.75" thickTop="1" x14ac:dyDescent="0.25"/>
  </sheetData>
  <mergeCells count="7">
    <mergeCell ref="W23:W24"/>
    <mergeCell ref="X23:X24"/>
    <mergeCell ref="Y23:Y24"/>
    <mergeCell ref="A6:V6"/>
    <mergeCell ref="C12:R12"/>
    <mergeCell ref="C13:K13"/>
    <mergeCell ref="L13:T13"/>
  </mergeCells>
  <pageMargins left="0.7" right="0.7" top="0.75" bottom="0.75" header="0.3" footer="0.3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CCC"/>
  </sheetPr>
  <dimension ref="A1:BA66"/>
  <sheetViews>
    <sheetView zoomScale="50" zoomScaleNormal="50" workbookViewId="0">
      <selection activeCell="BA16" sqref="BA16"/>
    </sheetView>
  </sheetViews>
  <sheetFormatPr baseColWidth="10" defaultRowHeight="15" x14ac:dyDescent="0.25"/>
  <cols>
    <col min="1" max="1" width="11.42578125" style="260"/>
    <col min="2" max="2" width="54.7109375" style="260" customWidth="1"/>
    <col min="3" max="8" width="7.42578125" style="260" bestFit="1" customWidth="1"/>
    <col min="9" max="10" width="7.7109375" style="260" bestFit="1" customWidth="1"/>
    <col min="11" max="11" width="12" style="260" customWidth="1"/>
    <col min="12" max="12" width="11.42578125" style="260"/>
    <col min="13" max="13" width="17.5703125" style="260" customWidth="1"/>
    <col min="14" max="14" width="41.5703125" style="260" customWidth="1"/>
    <col min="15" max="17" width="8.7109375" style="260" customWidth="1"/>
    <col min="18" max="22" width="8.140625" style="260" bestFit="1" customWidth="1"/>
    <col min="23" max="25" width="11.42578125" style="260"/>
    <col min="26" max="26" width="43.42578125" style="260" customWidth="1"/>
    <col min="27" max="31" width="8.140625" style="260" bestFit="1" customWidth="1"/>
    <col min="32" max="33" width="13.28515625" style="260" customWidth="1"/>
    <col min="34" max="34" width="11.42578125" style="260"/>
    <col min="35" max="35" width="46.7109375" style="260" customWidth="1"/>
    <col min="36" max="40" width="8.140625" style="260" bestFit="1" customWidth="1"/>
    <col min="41" max="42" width="9.28515625" style="260" customWidth="1"/>
    <col min="43" max="43" width="11.42578125" style="260"/>
    <col min="44" max="44" width="64.42578125" style="260" bestFit="1" customWidth="1"/>
    <col min="45" max="45" width="8.140625" style="260" bestFit="1" customWidth="1"/>
    <col min="46" max="46" width="7.7109375" style="260" bestFit="1" customWidth="1"/>
    <col min="47" max="51" width="8.140625" style="260" bestFit="1" customWidth="1"/>
    <col min="52" max="16384" width="11.42578125" style="260"/>
  </cols>
  <sheetData>
    <row r="1" spans="1:53" x14ac:dyDescent="0.25">
      <c r="A1" s="2" t="s">
        <v>15</v>
      </c>
    </row>
    <row r="2" spans="1:53" x14ac:dyDescent="0.25">
      <c r="A2" s="2" t="s">
        <v>16</v>
      </c>
    </row>
    <row r="3" spans="1:53" ht="18.75" x14ac:dyDescent="0.3">
      <c r="A3" s="2" t="s">
        <v>17</v>
      </c>
      <c r="L3" s="260" t="s">
        <v>423</v>
      </c>
      <c r="M3" s="631">
        <f>W15/K15</f>
        <v>0.82544861337683528</v>
      </c>
    </row>
    <row r="4" spans="1:53" ht="18.75" x14ac:dyDescent="0.3">
      <c r="A4" s="2" t="s">
        <v>18</v>
      </c>
      <c r="L4" s="260" t="s">
        <v>424</v>
      </c>
      <c r="M4" s="631">
        <f>AF15/K15</f>
        <v>6.4670240037287344E-2</v>
      </c>
    </row>
    <row r="5" spans="1:53" ht="19.5" thickBot="1" x14ac:dyDescent="0.35">
      <c r="L5" s="260" t="s">
        <v>425</v>
      </c>
      <c r="M5" s="631">
        <f>AO15/K15</f>
        <v>4.3696108133302264E-3</v>
      </c>
    </row>
    <row r="6" spans="1:53" ht="20.25" thickTop="1" thickBot="1" x14ac:dyDescent="0.35">
      <c r="B6" s="846" t="s">
        <v>261</v>
      </c>
      <c r="C6" s="847"/>
      <c r="D6" s="847"/>
      <c r="E6" s="847"/>
      <c r="F6" s="847"/>
      <c r="G6" s="847"/>
      <c r="H6" s="847"/>
      <c r="I6" s="847"/>
      <c r="J6" s="848"/>
      <c r="L6" s="260" t="s">
        <v>66</v>
      </c>
      <c r="M6" s="631">
        <f>AY15/K15</f>
        <v>0.1055115357725472</v>
      </c>
      <c r="N6" s="843" t="s">
        <v>338</v>
      </c>
      <c r="O6" s="844"/>
      <c r="P6" s="844"/>
      <c r="Q6" s="844"/>
      <c r="R6" s="844"/>
      <c r="S6" s="844"/>
      <c r="T6" s="844"/>
      <c r="U6" s="844"/>
      <c r="V6" s="844"/>
      <c r="W6" s="845"/>
      <c r="Z6" s="843" t="s">
        <v>339</v>
      </c>
      <c r="AA6" s="844"/>
      <c r="AB6" s="844"/>
      <c r="AC6" s="844"/>
      <c r="AD6" s="844"/>
      <c r="AE6" s="844"/>
      <c r="AF6" s="845"/>
      <c r="AI6" s="843" t="s">
        <v>340</v>
      </c>
      <c r="AJ6" s="844"/>
      <c r="AK6" s="844"/>
      <c r="AL6" s="844"/>
      <c r="AM6" s="844"/>
      <c r="AN6" s="844"/>
      <c r="AO6" s="845"/>
      <c r="AR6" s="843" t="s">
        <v>341</v>
      </c>
      <c r="AS6" s="844"/>
      <c r="AT6" s="844"/>
      <c r="AU6" s="844"/>
      <c r="AV6" s="844"/>
      <c r="AW6" s="844"/>
      <c r="AX6" s="844"/>
      <c r="AY6" s="845"/>
    </row>
    <row r="7" spans="1:53" ht="16.5" thickTop="1" thickBot="1" x14ac:dyDescent="0.3"/>
    <row r="8" spans="1:53" ht="16.5" thickTop="1" thickBot="1" x14ac:dyDescent="0.3">
      <c r="C8" s="167">
        <v>2011</v>
      </c>
      <c r="D8" s="167">
        <v>2012</v>
      </c>
      <c r="E8" s="167">
        <v>2013</v>
      </c>
      <c r="F8" s="167">
        <v>2014</v>
      </c>
      <c r="G8" s="167">
        <v>2015</v>
      </c>
      <c r="H8" s="167">
        <v>2016</v>
      </c>
      <c r="I8" s="167">
        <v>2017</v>
      </c>
      <c r="J8" s="168">
        <v>2018</v>
      </c>
      <c r="K8" s="197" t="s">
        <v>82</v>
      </c>
      <c r="O8" s="346">
        <v>2011</v>
      </c>
      <c r="P8" s="346">
        <v>2012</v>
      </c>
      <c r="Q8" s="346">
        <v>2013</v>
      </c>
      <c r="R8" s="346">
        <v>2014</v>
      </c>
      <c r="S8" s="346">
        <v>2015</v>
      </c>
      <c r="T8" s="346">
        <v>2016</v>
      </c>
      <c r="U8" s="346">
        <v>2017</v>
      </c>
      <c r="V8" s="347">
        <v>2018</v>
      </c>
      <c r="W8" s="348" t="s">
        <v>82</v>
      </c>
      <c r="AA8" s="346">
        <v>2014</v>
      </c>
      <c r="AB8" s="346">
        <v>2015</v>
      </c>
      <c r="AC8" s="346">
        <v>2016</v>
      </c>
      <c r="AD8" s="346">
        <v>2017</v>
      </c>
      <c r="AE8" s="347">
        <v>2018</v>
      </c>
      <c r="AF8" s="348" t="s">
        <v>82</v>
      </c>
      <c r="AJ8" s="751">
        <v>2014</v>
      </c>
      <c r="AK8" s="752">
        <v>2015</v>
      </c>
      <c r="AL8" s="752">
        <v>2016</v>
      </c>
      <c r="AM8" s="752">
        <v>2017</v>
      </c>
      <c r="AN8" s="753">
        <v>2018</v>
      </c>
      <c r="AO8" s="348" t="s">
        <v>82</v>
      </c>
      <c r="AS8" s="748">
        <v>2013</v>
      </c>
      <c r="AT8" s="346">
        <v>2014</v>
      </c>
      <c r="AU8" s="346">
        <v>2015</v>
      </c>
      <c r="AV8" s="346">
        <v>2016</v>
      </c>
      <c r="AW8" s="346">
        <v>2017</v>
      </c>
      <c r="AX8" s="347">
        <v>2018</v>
      </c>
      <c r="AY8" s="348" t="s">
        <v>82</v>
      </c>
    </row>
    <row r="9" spans="1:53" ht="15.75" thickTop="1" x14ac:dyDescent="0.25">
      <c r="B9" s="192" t="s">
        <v>236</v>
      </c>
      <c r="C9" s="305"/>
      <c r="D9" s="305"/>
      <c r="E9" s="188">
        <v>1</v>
      </c>
      <c r="F9" s="188">
        <v>1357</v>
      </c>
      <c r="G9" s="188">
        <v>2820</v>
      </c>
      <c r="H9" s="188">
        <v>4944</v>
      </c>
      <c r="I9" s="188">
        <v>8530</v>
      </c>
      <c r="J9" s="305"/>
      <c r="K9" s="203">
        <f>SUM(E9:J9)</f>
        <v>17652</v>
      </c>
      <c r="L9" s="634">
        <f>SUM(C9:F9)</f>
        <v>1358</v>
      </c>
      <c r="N9" s="335" t="s">
        <v>236</v>
      </c>
      <c r="O9" s="305"/>
      <c r="P9" s="305"/>
      <c r="Q9" s="305"/>
      <c r="R9" s="338">
        <v>1165</v>
      </c>
      <c r="S9" s="338">
        <v>2512</v>
      </c>
      <c r="T9" s="338">
        <v>4325</v>
      </c>
      <c r="U9" s="338">
        <v>7078</v>
      </c>
      <c r="V9" s="305"/>
      <c r="W9" s="345">
        <v>15080</v>
      </c>
      <c r="X9" s="634">
        <f>SUM(O9:R9)</f>
        <v>1165</v>
      </c>
      <c r="Z9" s="335" t="s">
        <v>236</v>
      </c>
      <c r="AA9" s="338">
        <v>127</v>
      </c>
      <c r="AB9" s="338">
        <v>159</v>
      </c>
      <c r="AC9" s="338">
        <v>235</v>
      </c>
      <c r="AD9" s="338">
        <v>526</v>
      </c>
      <c r="AE9" s="305"/>
      <c r="AF9" s="345">
        <v>1047</v>
      </c>
      <c r="AG9" s="634">
        <f>SUM(AA9)</f>
        <v>127</v>
      </c>
      <c r="AI9" s="335" t="s">
        <v>236</v>
      </c>
      <c r="AJ9" s="754">
        <v>3</v>
      </c>
      <c r="AK9" s="338">
        <v>2</v>
      </c>
      <c r="AL9" s="338">
        <v>33</v>
      </c>
      <c r="AM9" s="338">
        <v>67</v>
      </c>
      <c r="AN9" s="749"/>
      <c r="AO9" s="345">
        <v>105</v>
      </c>
      <c r="AP9" s="634">
        <f>SUM(AJ9)</f>
        <v>3</v>
      </c>
      <c r="AR9" s="335" t="s">
        <v>236</v>
      </c>
      <c r="AS9" s="750">
        <v>1</v>
      </c>
      <c r="AT9" s="338">
        <v>62</v>
      </c>
      <c r="AU9" s="338">
        <v>147</v>
      </c>
      <c r="AV9" s="338">
        <v>351</v>
      </c>
      <c r="AW9" s="338">
        <v>859</v>
      </c>
      <c r="AX9" s="749"/>
      <c r="AY9" s="345">
        <v>1420</v>
      </c>
      <c r="AZ9" s="634">
        <f>SUM(AS9:AT9)</f>
        <v>63</v>
      </c>
    </row>
    <row r="10" spans="1:53" x14ac:dyDescent="0.25">
      <c r="B10" s="193" t="s">
        <v>211</v>
      </c>
      <c r="C10" s="305"/>
      <c r="D10" s="305"/>
      <c r="E10" s="188">
        <v>1</v>
      </c>
      <c r="F10" s="188">
        <v>1109</v>
      </c>
      <c r="G10" s="188">
        <v>1659</v>
      </c>
      <c r="H10" s="188">
        <v>2740</v>
      </c>
      <c r="I10" s="188">
        <v>4540</v>
      </c>
      <c r="J10" s="190">
        <v>2147</v>
      </c>
      <c r="K10" s="204">
        <v>12196</v>
      </c>
      <c r="L10" s="634">
        <f t="shared" ref="L10:L42" si="0">SUM(C10:F10)</f>
        <v>1110</v>
      </c>
      <c r="N10" s="336" t="s">
        <v>211</v>
      </c>
      <c r="O10" s="305"/>
      <c r="P10" s="305"/>
      <c r="Q10" s="305"/>
      <c r="R10" s="338"/>
      <c r="S10" s="338"/>
      <c r="T10" s="338"/>
      <c r="U10" s="338"/>
      <c r="V10" s="339"/>
      <c r="W10" s="344"/>
      <c r="X10" s="634">
        <f t="shared" ref="X10:X45" si="1">SUM(O10:R10)</f>
        <v>0</v>
      </c>
      <c r="Z10" s="336" t="s">
        <v>211</v>
      </c>
      <c r="AA10" s="338"/>
      <c r="AB10" s="338"/>
      <c r="AC10" s="338"/>
      <c r="AD10" s="338"/>
      <c r="AE10" s="339"/>
      <c r="AF10" s="344"/>
      <c r="AG10" s="634">
        <f t="shared" ref="AG10:AG27" si="2">SUM(AA10)</f>
        <v>0</v>
      </c>
      <c r="AI10" s="336" t="s">
        <v>211</v>
      </c>
      <c r="AJ10" s="755"/>
      <c r="AK10" s="338"/>
      <c r="AL10" s="338"/>
      <c r="AM10" s="338"/>
      <c r="AN10" s="339"/>
      <c r="AO10" s="344"/>
      <c r="AP10" s="634">
        <f t="shared" ref="AP10:AP16" si="3">SUM(AJ10)</f>
        <v>0</v>
      </c>
      <c r="AR10" s="336" t="s">
        <v>211</v>
      </c>
      <c r="AS10" s="336"/>
      <c r="AT10" s="338"/>
      <c r="AU10" s="338"/>
      <c r="AV10" s="338"/>
      <c r="AW10" s="338"/>
      <c r="AX10" s="339"/>
      <c r="AY10" s="344"/>
      <c r="AZ10" s="634">
        <f t="shared" ref="AZ10:AZ16" si="4">SUM(AS10:AT10)</f>
        <v>0</v>
      </c>
    </row>
    <row r="11" spans="1:53" x14ac:dyDescent="0.25">
      <c r="B11" s="193" t="s">
        <v>232</v>
      </c>
      <c r="C11" s="305"/>
      <c r="D11" s="305"/>
      <c r="E11" s="305"/>
      <c r="F11" s="188">
        <v>1088</v>
      </c>
      <c r="G11" s="188">
        <v>1995</v>
      </c>
      <c r="H11" s="188">
        <v>3897</v>
      </c>
      <c r="I11" s="188">
        <v>6515</v>
      </c>
      <c r="J11" s="190">
        <v>4882</v>
      </c>
      <c r="K11" s="204">
        <v>18377</v>
      </c>
      <c r="L11" s="634">
        <f t="shared" si="0"/>
        <v>1088</v>
      </c>
      <c r="N11" s="336" t="s">
        <v>232</v>
      </c>
      <c r="O11" s="305"/>
      <c r="P11" s="305"/>
      <c r="Q11" s="305"/>
      <c r="R11" s="338"/>
      <c r="S11" s="338"/>
      <c r="T11" s="338"/>
      <c r="U11" s="338"/>
      <c r="V11" s="339"/>
      <c r="W11" s="344"/>
      <c r="X11" s="634">
        <f t="shared" si="1"/>
        <v>0</v>
      </c>
      <c r="Z11" s="336" t="s">
        <v>232</v>
      </c>
      <c r="AA11" s="338"/>
      <c r="AB11" s="338"/>
      <c r="AC11" s="338"/>
      <c r="AD11" s="338"/>
      <c r="AE11" s="339"/>
      <c r="AF11" s="344"/>
      <c r="AG11" s="634">
        <f t="shared" si="2"/>
        <v>0</v>
      </c>
      <c r="AI11" s="336" t="s">
        <v>232</v>
      </c>
      <c r="AJ11" s="755"/>
      <c r="AK11" s="338"/>
      <c r="AL11" s="338"/>
      <c r="AM11" s="338"/>
      <c r="AN11" s="339"/>
      <c r="AO11" s="344"/>
      <c r="AP11" s="634">
        <f t="shared" si="3"/>
        <v>0</v>
      </c>
      <c r="AR11" s="336" t="s">
        <v>232</v>
      </c>
      <c r="AS11" s="336"/>
      <c r="AT11" s="338"/>
      <c r="AU11" s="338"/>
      <c r="AV11" s="338"/>
      <c r="AW11" s="338"/>
      <c r="AX11" s="339"/>
      <c r="AY11" s="344"/>
      <c r="AZ11" s="634">
        <f t="shared" si="4"/>
        <v>0</v>
      </c>
    </row>
    <row r="12" spans="1:53" x14ac:dyDescent="0.25">
      <c r="B12" s="193" t="s">
        <v>238</v>
      </c>
      <c r="C12" s="305"/>
      <c r="D12" s="305"/>
      <c r="E12" s="305"/>
      <c r="F12" s="188">
        <v>842</v>
      </c>
      <c r="G12" s="188">
        <v>1827</v>
      </c>
      <c r="H12" s="188">
        <v>3596</v>
      </c>
      <c r="I12" s="188">
        <v>6115</v>
      </c>
      <c r="J12" s="190">
        <v>5480</v>
      </c>
      <c r="K12" s="204">
        <v>17860</v>
      </c>
      <c r="L12" s="634">
        <f t="shared" si="0"/>
        <v>842</v>
      </c>
      <c r="N12" s="336" t="s">
        <v>238</v>
      </c>
      <c r="O12" s="305"/>
      <c r="P12" s="305"/>
      <c r="Q12" s="305"/>
      <c r="R12" s="338"/>
      <c r="S12" s="338"/>
      <c r="T12" s="338"/>
      <c r="U12" s="338"/>
      <c r="V12" s="339"/>
      <c r="W12" s="344"/>
      <c r="X12" s="634">
        <f t="shared" si="1"/>
        <v>0</v>
      </c>
      <c r="Z12" s="336" t="s">
        <v>238</v>
      </c>
      <c r="AA12" s="338"/>
      <c r="AB12" s="338"/>
      <c r="AC12" s="338"/>
      <c r="AD12" s="338"/>
      <c r="AE12" s="339"/>
      <c r="AF12" s="344"/>
      <c r="AG12" s="634">
        <f t="shared" si="2"/>
        <v>0</v>
      </c>
      <c r="AI12" s="336" t="s">
        <v>238</v>
      </c>
      <c r="AJ12" s="755"/>
      <c r="AK12" s="338">
        <v>1</v>
      </c>
      <c r="AL12" s="338">
        <v>25</v>
      </c>
      <c r="AM12" s="338">
        <v>32</v>
      </c>
      <c r="AN12" s="339">
        <v>15</v>
      </c>
      <c r="AO12" s="344">
        <f t="shared" ref="AO12:AO13" si="5">SUM(AK12:AN12)</f>
        <v>73</v>
      </c>
      <c r="AP12" s="634">
        <f t="shared" si="3"/>
        <v>0</v>
      </c>
      <c r="AR12" s="336" t="s">
        <v>238</v>
      </c>
      <c r="AS12" s="336"/>
      <c r="AT12" s="338"/>
      <c r="AU12" s="338"/>
      <c r="AV12" s="338"/>
      <c r="AW12" s="338"/>
      <c r="AX12" s="339"/>
      <c r="AY12" s="344"/>
      <c r="AZ12" s="634">
        <f t="shared" si="4"/>
        <v>0</v>
      </c>
    </row>
    <row r="13" spans="1:53" x14ac:dyDescent="0.25">
      <c r="B13" s="193" t="s">
        <v>239</v>
      </c>
      <c r="C13" s="305"/>
      <c r="D13" s="305"/>
      <c r="E13" s="305"/>
      <c r="F13" s="188">
        <v>501</v>
      </c>
      <c r="G13" s="188">
        <v>1720</v>
      </c>
      <c r="H13" s="188">
        <v>3401</v>
      </c>
      <c r="I13" s="188">
        <v>5671</v>
      </c>
      <c r="J13" s="190">
        <v>6073</v>
      </c>
      <c r="K13" s="204">
        <v>17366</v>
      </c>
      <c r="L13" s="634">
        <f t="shared" si="0"/>
        <v>501</v>
      </c>
      <c r="N13" s="336" t="s">
        <v>239</v>
      </c>
      <c r="O13" s="305"/>
      <c r="P13" s="305"/>
      <c r="Q13" s="305"/>
      <c r="R13" s="338">
        <v>415</v>
      </c>
      <c r="S13" s="338">
        <v>1498</v>
      </c>
      <c r="T13" s="338">
        <v>2946</v>
      </c>
      <c r="U13" s="338">
        <v>4569</v>
      </c>
      <c r="V13" s="339">
        <v>4999</v>
      </c>
      <c r="W13" s="344">
        <v>14427</v>
      </c>
      <c r="X13" s="634">
        <f t="shared" si="1"/>
        <v>415</v>
      </c>
      <c r="Z13" s="336" t="s">
        <v>239</v>
      </c>
      <c r="AA13" s="338">
        <v>36</v>
      </c>
      <c r="AB13" s="338">
        <v>95</v>
      </c>
      <c r="AC13" s="338">
        <v>161</v>
      </c>
      <c r="AD13" s="338">
        <v>356</v>
      </c>
      <c r="AE13" s="339">
        <v>382</v>
      </c>
      <c r="AF13" s="344">
        <v>1030</v>
      </c>
      <c r="AG13" s="634">
        <f t="shared" si="2"/>
        <v>36</v>
      </c>
      <c r="AI13" s="336" t="s">
        <v>239</v>
      </c>
      <c r="AJ13" s="755"/>
      <c r="AK13" s="338">
        <v>1</v>
      </c>
      <c r="AL13" s="338">
        <v>25</v>
      </c>
      <c r="AM13" s="338">
        <v>32</v>
      </c>
      <c r="AN13" s="339">
        <v>17</v>
      </c>
      <c r="AO13" s="344">
        <f t="shared" si="5"/>
        <v>75</v>
      </c>
      <c r="AP13" s="634">
        <f t="shared" si="3"/>
        <v>0</v>
      </c>
      <c r="AR13" s="336" t="s">
        <v>239</v>
      </c>
      <c r="AS13" s="336"/>
      <c r="AT13" s="338">
        <v>50</v>
      </c>
      <c r="AU13" s="338">
        <v>126</v>
      </c>
      <c r="AV13" s="338">
        <v>269</v>
      </c>
      <c r="AW13" s="338">
        <v>714</v>
      </c>
      <c r="AX13" s="339">
        <v>675</v>
      </c>
      <c r="AY13" s="344">
        <v>1834</v>
      </c>
      <c r="AZ13" s="634">
        <f t="shared" si="4"/>
        <v>50</v>
      </c>
    </row>
    <row r="14" spans="1:53" x14ac:dyDescent="0.25">
      <c r="B14" s="193" t="s">
        <v>240</v>
      </c>
      <c r="C14" s="305"/>
      <c r="D14" s="305"/>
      <c r="E14" s="305"/>
      <c r="F14" s="188">
        <v>375</v>
      </c>
      <c r="G14" s="188">
        <v>1657</v>
      </c>
      <c r="H14" s="188">
        <v>3437</v>
      </c>
      <c r="I14" s="188">
        <v>5372</v>
      </c>
      <c r="J14" s="190">
        <v>6485</v>
      </c>
      <c r="K14" s="204">
        <v>17326</v>
      </c>
      <c r="L14" s="634">
        <f t="shared" si="0"/>
        <v>375</v>
      </c>
      <c r="N14" s="336" t="s">
        <v>240</v>
      </c>
      <c r="O14" s="305"/>
      <c r="P14" s="305"/>
      <c r="Q14" s="305"/>
      <c r="R14" s="338">
        <v>315</v>
      </c>
      <c r="S14" s="338">
        <v>1438</v>
      </c>
      <c r="T14" s="338">
        <v>2984</v>
      </c>
      <c r="U14" s="338">
        <v>4311</v>
      </c>
      <c r="V14" s="339">
        <v>5368</v>
      </c>
      <c r="W14" s="344">
        <v>14416</v>
      </c>
      <c r="X14" s="634">
        <f t="shared" si="1"/>
        <v>315</v>
      </c>
      <c r="Z14" s="336" t="s">
        <v>240</v>
      </c>
      <c r="AA14" s="338">
        <v>15</v>
      </c>
      <c r="AB14" s="338">
        <v>93</v>
      </c>
      <c r="AC14" s="338">
        <v>160</v>
      </c>
      <c r="AD14" s="338">
        <v>353</v>
      </c>
      <c r="AE14" s="339">
        <v>417</v>
      </c>
      <c r="AF14" s="344">
        <v>1038</v>
      </c>
      <c r="AG14" s="634">
        <f t="shared" si="2"/>
        <v>15</v>
      </c>
      <c r="AI14" s="336" t="s">
        <v>240</v>
      </c>
      <c r="AJ14" s="755"/>
      <c r="AK14" s="338">
        <v>0</v>
      </c>
      <c r="AL14" s="338">
        <v>25</v>
      </c>
      <c r="AM14" s="338">
        <v>32</v>
      </c>
      <c r="AN14" s="339">
        <v>17</v>
      </c>
      <c r="AO14" s="344">
        <f>SUM(AK14:AN14)</f>
        <v>74</v>
      </c>
      <c r="AP14" s="634">
        <f t="shared" si="3"/>
        <v>0</v>
      </c>
      <c r="AR14" s="336" t="s">
        <v>240</v>
      </c>
      <c r="AS14" s="336"/>
      <c r="AT14" s="338">
        <v>45</v>
      </c>
      <c r="AU14" s="338">
        <v>125</v>
      </c>
      <c r="AV14" s="338">
        <v>268</v>
      </c>
      <c r="AW14" s="338">
        <v>676</v>
      </c>
      <c r="AX14" s="339">
        <v>683</v>
      </c>
      <c r="AY14" s="344">
        <v>1797</v>
      </c>
      <c r="AZ14" s="634">
        <f t="shared" si="4"/>
        <v>45</v>
      </c>
    </row>
    <row r="15" spans="1:53" x14ac:dyDescent="0.25">
      <c r="B15" s="193" t="s">
        <v>241</v>
      </c>
      <c r="C15" s="188">
        <v>1</v>
      </c>
      <c r="D15" s="188">
        <v>0</v>
      </c>
      <c r="E15" s="188">
        <v>0</v>
      </c>
      <c r="F15" s="188">
        <v>228</v>
      </c>
      <c r="G15" s="188">
        <v>1617</v>
      </c>
      <c r="H15" s="188">
        <v>3314</v>
      </c>
      <c r="I15" s="188">
        <v>4869</v>
      </c>
      <c r="J15" s="190">
        <v>7135</v>
      </c>
      <c r="K15" s="204">
        <f>SUM(C15:J15)</f>
        <v>17164</v>
      </c>
      <c r="L15" s="634">
        <f t="shared" si="0"/>
        <v>229</v>
      </c>
      <c r="M15" s="636">
        <f>L15/L9</f>
        <v>0.16863033873343153</v>
      </c>
      <c r="N15" s="336" t="s">
        <v>241</v>
      </c>
      <c r="O15" s="338">
        <v>1</v>
      </c>
      <c r="P15" s="338">
        <v>0</v>
      </c>
      <c r="Q15" s="338">
        <v>0</v>
      </c>
      <c r="R15" s="338">
        <v>172</v>
      </c>
      <c r="S15" s="338">
        <v>1401</v>
      </c>
      <c r="T15" s="338">
        <v>2865</v>
      </c>
      <c r="U15" s="338">
        <v>3849</v>
      </c>
      <c r="V15" s="339">
        <v>5880</v>
      </c>
      <c r="W15" s="344">
        <f>SUM(O15:V15)</f>
        <v>14168</v>
      </c>
      <c r="X15" s="634">
        <f t="shared" si="1"/>
        <v>173</v>
      </c>
      <c r="Y15" s="636">
        <f>X15/X9</f>
        <v>0.14849785407725322</v>
      </c>
      <c r="Z15" s="336" t="s">
        <v>241</v>
      </c>
      <c r="AA15" s="338">
        <v>13</v>
      </c>
      <c r="AB15" s="338">
        <v>92</v>
      </c>
      <c r="AC15" s="338">
        <v>160</v>
      </c>
      <c r="AD15" s="338">
        <v>347</v>
      </c>
      <c r="AE15" s="339">
        <v>498</v>
      </c>
      <c r="AF15" s="344">
        <f>SUM(AA15:AE15)</f>
        <v>1110</v>
      </c>
      <c r="AG15" s="634">
        <f t="shared" si="2"/>
        <v>13</v>
      </c>
      <c r="AH15" s="636">
        <f>AG15/AG9</f>
        <v>0.10236220472440945</v>
      </c>
      <c r="AI15" s="336" t="s">
        <v>241</v>
      </c>
      <c r="AJ15" s="755"/>
      <c r="AK15" s="338">
        <v>1</v>
      </c>
      <c r="AL15" s="338">
        <v>25</v>
      </c>
      <c r="AM15" s="338">
        <v>32</v>
      </c>
      <c r="AN15" s="339">
        <v>17</v>
      </c>
      <c r="AO15" s="344">
        <f>SUM(AK15:AN15)</f>
        <v>75</v>
      </c>
      <c r="AP15" s="634">
        <f t="shared" si="3"/>
        <v>0</v>
      </c>
      <c r="AQ15" s="636">
        <f>AP15/AP9</f>
        <v>0</v>
      </c>
      <c r="AR15" s="336" t="s">
        <v>241</v>
      </c>
      <c r="AS15" s="336"/>
      <c r="AT15" s="338">
        <v>43</v>
      </c>
      <c r="AU15" s="338">
        <v>123</v>
      </c>
      <c r="AV15" s="338">
        <v>264</v>
      </c>
      <c r="AW15" s="338">
        <v>641</v>
      </c>
      <c r="AX15" s="339">
        <v>740</v>
      </c>
      <c r="AY15" s="344">
        <f>SUM(AT15:AX15)</f>
        <v>1811</v>
      </c>
      <c r="AZ15" s="634">
        <f t="shared" si="4"/>
        <v>43</v>
      </c>
      <c r="BA15" s="636">
        <f>AZ15/AZ9</f>
        <v>0.68253968253968256</v>
      </c>
    </row>
    <row r="16" spans="1:53" x14ac:dyDescent="0.25">
      <c r="B16" s="193" t="s">
        <v>242</v>
      </c>
      <c r="C16" s="188"/>
      <c r="D16" s="188"/>
      <c r="E16" s="188"/>
      <c r="F16" s="188"/>
      <c r="G16" s="188"/>
      <c r="H16" s="188"/>
      <c r="I16" s="188"/>
      <c r="J16" s="190"/>
      <c r="K16" s="194"/>
      <c r="L16" s="634">
        <f t="shared" si="0"/>
        <v>0</v>
      </c>
      <c r="N16" s="336" t="s">
        <v>242</v>
      </c>
      <c r="O16" s="338"/>
      <c r="P16" s="338"/>
      <c r="Q16" s="338"/>
      <c r="R16" s="338"/>
      <c r="S16" s="338"/>
      <c r="T16" s="338"/>
      <c r="U16" s="338"/>
      <c r="V16" s="339"/>
      <c r="W16" s="340"/>
      <c r="X16" s="634">
        <f t="shared" si="1"/>
        <v>0</v>
      </c>
      <c r="Z16" s="336" t="s">
        <v>242</v>
      </c>
      <c r="AA16" s="338"/>
      <c r="AB16" s="338"/>
      <c r="AC16" s="338"/>
      <c r="AD16" s="338"/>
      <c r="AE16" s="339"/>
      <c r="AF16" s="340"/>
      <c r="AG16" s="634">
        <f t="shared" si="2"/>
        <v>0</v>
      </c>
      <c r="AI16" s="336" t="s">
        <v>242</v>
      </c>
      <c r="AJ16" s="755"/>
      <c r="AK16" s="338"/>
      <c r="AL16" s="338"/>
      <c r="AM16" s="338"/>
      <c r="AN16" s="339"/>
      <c r="AO16" s="340"/>
      <c r="AP16" s="634">
        <f t="shared" si="3"/>
        <v>0</v>
      </c>
      <c r="AR16" s="336" t="s">
        <v>242</v>
      </c>
      <c r="AS16" s="336"/>
      <c r="AT16" s="338"/>
      <c r="AU16" s="338"/>
      <c r="AV16" s="338"/>
      <c r="AW16" s="338"/>
      <c r="AX16" s="339"/>
      <c r="AY16" s="340"/>
      <c r="AZ16" s="634">
        <f t="shared" si="4"/>
        <v>0</v>
      </c>
    </row>
    <row r="17" spans="2:52" ht="15.75" thickBot="1" x14ac:dyDescent="0.3">
      <c r="B17" s="195" t="s">
        <v>243</v>
      </c>
      <c r="C17" s="189"/>
      <c r="D17" s="189"/>
      <c r="E17" s="189"/>
      <c r="F17" s="189"/>
      <c r="G17" s="189"/>
      <c r="H17" s="189"/>
      <c r="I17" s="189"/>
      <c r="J17" s="191"/>
      <c r="K17" s="196"/>
      <c r="L17" s="634">
        <f t="shared" si="0"/>
        <v>0</v>
      </c>
      <c r="N17" s="337" t="s">
        <v>243</v>
      </c>
      <c r="O17" s="341"/>
      <c r="P17" s="341"/>
      <c r="Q17" s="341"/>
      <c r="R17" s="341"/>
      <c r="S17" s="341"/>
      <c r="T17" s="341"/>
      <c r="U17" s="341"/>
      <c r="V17" s="342"/>
      <c r="W17" s="343"/>
      <c r="X17" s="634">
        <f t="shared" si="1"/>
        <v>0</v>
      </c>
      <c r="Z17" s="337" t="s">
        <v>243</v>
      </c>
      <c r="AA17" s="341"/>
      <c r="AB17" s="341"/>
      <c r="AC17" s="341"/>
      <c r="AD17" s="341"/>
      <c r="AE17" s="342"/>
      <c r="AF17" s="343"/>
      <c r="AG17" s="634">
        <f t="shared" si="2"/>
        <v>0</v>
      </c>
      <c r="AI17" s="337" t="s">
        <v>243</v>
      </c>
      <c r="AJ17" s="756"/>
      <c r="AK17" s="341"/>
      <c r="AL17" s="341"/>
      <c r="AM17" s="341"/>
      <c r="AN17" s="342"/>
      <c r="AO17" s="343"/>
      <c r="AR17" s="337" t="s">
        <v>243</v>
      </c>
      <c r="AS17" s="337"/>
      <c r="AT17" s="341"/>
      <c r="AU17" s="341"/>
      <c r="AV17" s="341"/>
      <c r="AW17" s="341"/>
      <c r="AX17" s="342"/>
      <c r="AY17" s="343"/>
      <c r="AZ17" s="634">
        <f t="shared" ref="AZ17:AZ53" si="6">SUM(AT17)</f>
        <v>0</v>
      </c>
    </row>
    <row r="18" spans="2:52" ht="15.75" thickTop="1" x14ac:dyDescent="0.25">
      <c r="L18" s="634"/>
      <c r="X18" s="634"/>
      <c r="AG18" s="634"/>
      <c r="AZ18" s="634"/>
    </row>
    <row r="19" spans="2:52" ht="15.75" thickBot="1" x14ac:dyDescent="0.3">
      <c r="L19" s="634"/>
      <c r="X19" s="634"/>
      <c r="AG19" s="634"/>
      <c r="AZ19" s="634"/>
    </row>
    <row r="20" spans="2:52" ht="16.5" thickTop="1" thickBot="1" x14ac:dyDescent="0.3">
      <c r="C20" s="545">
        <v>2011</v>
      </c>
      <c r="D20" s="546">
        <v>2012</v>
      </c>
      <c r="E20" s="546">
        <v>2013</v>
      </c>
      <c r="F20" s="546">
        <v>2014</v>
      </c>
      <c r="G20" s="546">
        <v>2015</v>
      </c>
      <c r="H20" s="546">
        <v>2016</v>
      </c>
      <c r="I20" s="546">
        <v>2017</v>
      </c>
      <c r="J20" s="547">
        <v>2018</v>
      </c>
      <c r="K20" s="548" t="s">
        <v>386</v>
      </c>
      <c r="L20" s="634"/>
      <c r="N20" s="260" t="s">
        <v>192</v>
      </c>
      <c r="O20" s="553">
        <v>2011</v>
      </c>
      <c r="P20" s="554">
        <v>2012</v>
      </c>
      <c r="Q20" s="554">
        <v>2013</v>
      </c>
      <c r="R20" s="554">
        <v>2014</v>
      </c>
      <c r="S20" s="554">
        <v>2015</v>
      </c>
      <c r="T20" s="554">
        <v>2016</v>
      </c>
      <c r="U20" s="554">
        <v>2017</v>
      </c>
      <c r="V20" s="555">
        <v>2018</v>
      </c>
      <c r="W20" s="556" t="s">
        <v>386</v>
      </c>
      <c r="X20" s="634"/>
      <c r="AA20" s="553">
        <v>2014</v>
      </c>
      <c r="AB20" s="554">
        <v>2015</v>
      </c>
      <c r="AC20" s="554">
        <v>2016</v>
      </c>
      <c r="AD20" s="554">
        <v>2017</v>
      </c>
      <c r="AE20" s="555">
        <v>2018</v>
      </c>
      <c r="AF20" s="556" t="s">
        <v>386</v>
      </c>
      <c r="AG20" s="634"/>
      <c r="AJ20" s="553">
        <v>2014</v>
      </c>
      <c r="AK20" s="554">
        <v>2015</v>
      </c>
      <c r="AL20" s="554">
        <v>2016</v>
      </c>
      <c r="AM20" s="554">
        <v>2017</v>
      </c>
      <c r="AN20" s="573">
        <v>2018</v>
      </c>
      <c r="AO20" s="556" t="s">
        <v>386</v>
      </c>
      <c r="AR20" s="121"/>
      <c r="AS20" s="569">
        <v>2013</v>
      </c>
      <c r="AT20" s="570">
        <v>2014</v>
      </c>
      <c r="AU20" s="570">
        <v>2015</v>
      </c>
      <c r="AV20" s="570">
        <v>2016</v>
      </c>
      <c r="AW20" s="570">
        <v>2017</v>
      </c>
      <c r="AX20" s="571">
        <v>2018</v>
      </c>
      <c r="AY20" s="572" t="s">
        <v>386</v>
      </c>
      <c r="AZ20" s="634"/>
    </row>
    <row r="21" spans="2:52" ht="16.5" thickTop="1" thickBot="1" x14ac:dyDescent="0.3">
      <c r="B21" s="540" t="s">
        <v>193</v>
      </c>
      <c r="C21" s="538">
        <v>1</v>
      </c>
      <c r="D21" s="539"/>
      <c r="E21" s="539"/>
      <c r="F21" s="539">
        <v>172</v>
      </c>
      <c r="G21" s="539">
        <v>1401</v>
      </c>
      <c r="H21" s="539">
        <v>2865</v>
      </c>
      <c r="I21" s="539">
        <v>3849</v>
      </c>
      <c r="J21" s="541">
        <v>5880</v>
      </c>
      <c r="K21" s="540">
        <v>14168</v>
      </c>
      <c r="L21" s="634">
        <f t="shared" si="0"/>
        <v>173</v>
      </c>
      <c r="N21" s="549" t="s">
        <v>193</v>
      </c>
      <c r="O21" s="557">
        <v>1</v>
      </c>
      <c r="P21" s="551"/>
      <c r="Q21" s="551"/>
      <c r="R21" s="551">
        <v>172</v>
      </c>
      <c r="S21" s="551">
        <v>1401</v>
      </c>
      <c r="T21" s="551">
        <v>2865</v>
      </c>
      <c r="U21" s="551">
        <v>3849</v>
      </c>
      <c r="V21" s="552">
        <v>5880</v>
      </c>
      <c r="W21" s="549">
        <v>14168</v>
      </c>
      <c r="X21" s="634">
        <f t="shared" si="1"/>
        <v>173</v>
      </c>
      <c r="Z21" s="558" t="s">
        <v>214</v>
      </c>
      <c r="AA21" s="559">
        <v>13</v>
      </c>
      <c r="AB21" s="560">
        <v>92</v>
      </c>
      <c r="AC21" s="560">
        <v>160</v>
      </c>
      <c r="AD21" s="560">
        <v>347</v>
      </c>
      <c r="AE21" s="561">
        <v>498</v>
      </c>
      <c r="AF21" s="558">
        <v>1110</v>
      </c>
      <c r="AG21" s="634">
        <f t="shared" si="2"/>
        <v>13</v>
      </c>
      <c r="AI21" s="757" t="s">
        <v>216</v>
      </c>
      <c r="AJ21" s="758"/>
      <c r="AK21" s="560">
        <v>1</v>
      </c>
      <c r="AL21" s="560">
        <v>25</v>
      </c>
      <c r="AM21" s="560">
        <v>32</v>
      </c>
      <c r="AN21" s="563">
        <v>17</v>
      </c>
      <c r="AO21" s="558">
        <v>75</v>
      </c>
      <c r="AR21" s="744" t="s">
        <v>213</v>
      </c>
      <c r="AS21" s="550"/>
      <c r="AT21" s="551">
        <v>43</v>
      </c>
      <c r="AU21" s="551">
        <v>123</v>
      </c>
      <c r="AV21" s="551">
        <v>264</v>
      </c>
      <c r="AW21" s="551">
        <v>641</v>
      </c>
      <c r="AX21" s="564">
        <v>740</v>
      </c>
      <c r="AY21" s="568">
        <v>1811</v>
      </c>
      <c r="AZ21" s="634">
        <f t="shared" si="6"/>
        <v>43</v>
      </c>
    </row>
    <row r="22" spans="2:52" ht="16.5" thickTop="1" thickBot="1" x14ac:dyDescent="0.3">
      <c r="B22" s="400" t="s">
        <v>254</v>
      </c>
      <c r="C22" s="414">
        <v>1</v>
      </c>
      <c r="D22" s="415"/>
      <c r="E22" s="415"/>
      <c r="F22" s="415">
        <v>67</v>
      </c>
      <c r="G22" s="415">
        <v>433</v>
      </c>
      <c r="H22" s="415">
        <v>725</v>
      </c>
      <c r="I22" s="415">
        <v>1271</v>
      </c>
      <c r="J22" s="542">
        <v>1806</v>
      </c>
      <c r="K22" s="494">
        <v>4303</v>
      </c>
      <c r="L22" s="634">
        <f t="shared" si="0"/>
        <v>68</v>
      </c>
      <c r="N22" s="549" t="s">
        <v>194</v>
      </c>
      <c r="O22" s="557"/>
      <c r="P22" s="551"/>
      <c r="Q22" s="551"/>
      <c r="R22" s="551">
        <v>142</v>
      </c>
      <c r="S22" s="551">
        <v>1192</v>
      </c>
      <c r="T22" s="551">
        <v>2222</v>
      </c>
      <c r="U22" s="551">
        <v>2281</v>
      </c>
      <c r="V22" s="552">
        <v>2676</v>
      </c>
      <c r="W22" s="549">
        <v>8513</v>
      </c>
      <c r="X22" s="634">
        <f t="shared" si="1"/>
        <v>142</v>
      </c>
      <c r="Z22" s="549" t="s">
        <v>195</v>
      </c>
      <c r="AA22" s="557">
        <v>13</v>
      </c>
      <c r="AB22" s="551">
        <v>92</v>
      </c>
      <c r="AC22" s="551">
        <v>160</v>
      </c>
      <c r="AD22" s="551">
        <v>347</v>
      </c>
      <c r="AE22" s="552">
        <v>498</v>
      </c>
      <c r="AF22" s="549">
        <v>1110</v>
      </c>
      <c r="AG22" s="634">
        <f t="shared" si="2"/>
        <v>13</v>
      </c>
      <c r="AI22" s="744" t="s">
        <v>204</v>
      </c>
      <c r="AJ22" s="550"/>
      <c r="AK22" s="551">
        <v>1</v>
      </c>
      <c r="AL22" s="551">
        <v>25</v>
      </c>
      <c r="AM22" s="551">
        <v>31</v>
      </c>
      <c r="AN22" s="564">
        <v>17</v>
      </c>
      <c r="AO22" s="549">
        <v>74</v>
      </c>
      <c r="AR22" s="744" t="s">
        <v>253</v>
      </c>
      <c r="AS22" s="550"/>
      <c r="AT22" s="551">
        <v>1</v>
      </c>
      <c r="AU22" s="551">
        <v>64</v>
      </c>
      <c r="AV22" s="551">
        <v>127</v>
      </c>
      <c r="AW22" s="551">
        <v>414</v>
      </c>
      <c r="AX22" s="564">
        <v>390</v>
      </c>
      <c r="AY22" s="568">
        <v>996</v>
      </c>
      <c r="AZ22" s="634">
        <f t="shared" si="6"/>
        <v>1</v>
      </c>
    </row>
    <row r="23" spans="2:52" ht="16.5" thickTop="1" thickBot="1" x14ac:dyDescent="0.3">
      <c r="B23" s="400" t="s">
        <v>253</v>
      </c>
      <c r="C23" s="79"/>
      <c r="D23" s="406"/>
      <c r="E23" s="406"/>
      <c r="F23" s="406"/>
      <c r="G23" s="406">
        <v>281</v>
      </c>
      <c r="H23" s="406">
        <v>970</v>
      </c>
      <c r="I23" s="406">
        <v>1157</v>
      </c>
      <c r="J23" s="543">
        <v>1815</v>
      </c>
      <c r="K23" s="492">
        <v>4223</v>
      </c>
      <c r="L23" s="634">
        <f t="shared" si="0"/>
        <v>0</v>
      </c>
      <c r="N23" s="494" t="s">
        <v>253</v>
      </c>
      <c r="O23" s="500"/>
      <c r="P23" s="415"/>
      <c r="Q23" s="415"/>
      <c r="R23" s="415"/>
      <c r="S23" s="415">
        <v>274</v>
      </c>
      <c r="T23" s="415">
        <v>961</v>
      </c>
      <c r="U23" s="415">
        <v>1020</v>
      </c>
      <c r="V23" s="542">
        <v>1002</v>
      </c>
      <c r="W23" s="494">
        <v>3257</v>
      </c>
      <c r="X23" s="634">
        <f t="shared" si="1"/>
        <v>0</v>
      </c>
      <c r="Z23" s="494" t="s">
        <v>253</v>
      </c>
      <c r="AA23" s="500">
        <v>7</v>
      </c>
      <c r="AB23" s="415">
        <v>92</v>
      </c>
      <c r="AC23" s="415">
        <v>141</v>
      </c>
      <c r="AD23" s="415">
        <v>187</v>
      </c>
      <c r="AE23" s="542">
        <v>348</v>
      </c>
      <c r="AF23" s="494">
        <v>775</v>
      </c>
      <c r="AG23" s="634">
        <f t="shared" si="2"/>
        <v>7</v>
      </c>
      <c r="AI23" s="397" t="s">
        <v>254</v>
      </c>
      <c r="AJ23" s="759"/>
      <c r="AK23" s="470">
        <v>1</v>
      </c>
      <c r="AL23" s="470">
        <v>25</v>
      </c>
      <c r="AM23" s="470">
        <v>31</v>
      </c>
      <c r="AN23" s="562">
        <v>17</v>
      </c>
      <c r="AO23" s="400">
        <v>74</v>
      </c>
      <c r="AR23" s="745" t="s">
        <v>201</v>
      </c>
      <c r="AS23" s="414"/>
      <c r="AT23" s="415"/>
      <c r="AU23" s="415">
        <v>24</v>
      </c>
      <c r="AV23" s="415">
        <v>43</v>
      </c>
      <c r="AW23" s="415">
        <v>190</v>
      </c>
      <c r="AX23" s="416">
        <v>138</v>
      </c>
      <c r="AY23" s="565">
        <v>395</v>
      </c>
      <c r="AZ23" s="634">
        <f t="shared" si="6"/>
        <v>0</v>
      </c>
    </row>
    <row r="24" spans="2:52" ht="16.5" thickTop="1" thickBot="1" x14ac:dyDescent="0.3">
      <c r="B24" s="400" t="s">
        <v>255</v>
      </c>
      <c r="C24" s="79"/>
      <c r="D24" s="406"/>
      <c r="E24" s="406"/>
      <c r="F24" s="406">
        <v>18</v>
      </c>
      <c r="G24" s="406">
        <v>460</v>
      </c>
      <c r="H24" s="406">
        <v>588</v>
      </c>
      <c r="I24" s="406">
        <v>632</v>
      </c>
      <c r="J24" s="543">
        <v>732</v>
      </c>
      <c r="K24" s="492">
        <v>2430</v>
      </c>
      <c r="L24" s="634">
        <f t="shared" si="0"/>
        <v>18</v>
      </c>
      <c r="N24" s="492" t="s">
        <v>254</v>
      </c>
      <c r="O24" s="497"/>
      <c r="P24" s="406"/>
      <c r="Q24" s="406"/>
      <c r="R24" s="406">
        <v>43</v>
      </c>
      <c r="S24" s="406">
        <v>373</v>
      </c>
      <c r="T24" s="406">
        <v>458</v>
      </c>
      <c r="U24" s="406">
        <v>612</v>
      </c>
      <c r="V24" s="543">
        <v>917</v>
      </c>
      <c r="W24" s="492">
        <v>2403</v>
      </c>
      <c r="X24" s="634">
        <f t="shared" si="1"/>
        <v>43</v>
      </c>
      <c r="Z24" s="492" t="s">
        <v>255</v>
      </c>
      <c r="AA24" s="497">
        <v>6</v>
      </c>
      <c r="AB24" s="406"/>
      <c r="AC24" s="406">
        <v>19</v>
      </c>
      <c r="AD24" s="406">
        <v>160</v>
      </c>
      <c r="AE24" s="543">
        <v>128</v>
      </c>
      <c r="AF24" s="492">
        <v>313</v>
      </c>
      <c r="AG24" s="634">
        <f t="shared" si="2"/>
        <v>6</v>
      </c>
      <c r="AI24" s="744" t="s">
        <v>210</v>
      </c>
      <c r="AJ24" s="550"/>
      <c r="AK24" s="551"/>
      <c r="AL24" s="551"/>
      <c r="AM24" s="551">
        <v>1</v>
      </c>
      <c r="AN24" s="564"/>
      <c r="AO24" s="549">
        <v>1</v>
      </c>
      <c r="AR24" s="746" t="s">
        <v>198</v>
      </c>
      <c r="AS24" s="79"/>
      <c r="AT24" s="406">
        <v>1</v>
      </c>
      <c r="AU24" s="406">
        <v>36</v>
      </c>
      <c r="AV24" s="406">
        <v>26</v>
      </c>
      <c r="AW24" s="406">
        <v>145</v>
      </c>
      <c r="AX24" s="407">
        <v>125</v>
      </c>
      <c r="AY24" s="566">
        <v>333</v>
      </c>
      <c r="AZ24" s="634">
        <f t="shared" si="6"/>
        <v>1</v>
      </c>
    </row>
    <row r="25" spans="2:52" ht="16.5" thickTop="1" thickBot="1" x14ac:dyDescent="0.3">
      <c r="B25" s="400" t="s">
        <v>256</v>
      </c>
      <c r="C25" s="79"/>
      <c r="D25" s="406"/>
      <c r="E25" s="406"/>
      <c r="F25" s="406">
        <v>86</v>
      </c>
      <c r="G25" s="406">
        <v>186</v>
      </c>
      <c r="H25" s="406">
        <v>389</v>
      </c>
      <c r="I25" s="406">
        <v>438</v>
      </c>
      <c r="J25" s="543">
        <v>835</v>
      </c>
      <c r="K25" s="492">
        <v>1934</v>
      </c>
      <c r="L25" s="634">
        <f t="shared" si="0"/>
        <v>86</v>
      </c>
      <c r="N25" s="492" t="s">
        <v>255</v>
      </c>
      <c r="O25" s="497"/>
      <c r="P25" s="406"/>
      <c r="Q25" s="406"/>
      <c r="R25" s="406">
        <v>14</v>
      </c>
      <c r="S25" s="406">
        <v>376</v>
      </c>
      <c r="T25" s="406">
        <v>432</v>
      </c>
      <c r="U25" s="406">
        <v>391</v>
      </c>
      <c r="V25" s="543">
        <v>356</v>
      </c>
      <c r="W25" s="492">
        <v>1569</v>
      </c>
      <c r="X25" s="634">
        <f t="shared" si="1"/>
        <v>14</v>
      </c>
      <c r="Z25" s="493" t="s">
        <v>254</v>
      </c>
      <c r="AA25" s="498"/>
      <c r="AB25" s="409"/>
      <c r="AC25" s="409"/>
      <c r="AD25" s="409"/>
      <c r="AE25" s="544">
        <v>22</v>
      </c>
      <c r="AF25" s="493">
        <v>22</v>
      </c>
      <c r="AG25" s="634">
        <f t="shared" si="2"/>
        <v>0</v>
      </c>
      <c r="AI25" s="397" t="s">
        <v>253</v>
      </c>
      <c r="AJ25" s="759"/>
      <c r="AK25" s="470"/>
      <c r="AL25" s="470"/>
      <c r="AM25" s="470">
        <v>1</v>
      </c>
      <c r="AN25" s="562"/>
      <c r="AO25" s="400">
        <v>1</v>
      </c>
      <c r="AR25" s="746" t="s">
        <v>209</v>
      </c>
      <c r="AS25" s="79"/>
      <c r="AT25" s="406"/>
      <c r="AU25" s="406"/>
      <c r="AV25" s="406">
        <v>22</v>
      </c>
      <c r="AW25" s="406">
        <v>30</v>
      </c>
      <c r="AX25" s="407">
        <v>18</v>
      </c>
      <c r="AY25" s="566">
        <v>70</v>
      </c>
      <c r="AZ25" s="634">
        <f t="shared" si="6"/>
        <v>0</v>
      </c>
    </row>
    <row r="26" spans="2:52" ht="16.5" thickTop="1" thickBot="1" x14ac:dyDescent="0.3">
      <c r="B26" s="400" t="s">
        <v>257</v>
      </c>
      <c r="C26" s="79"/>
      <c r="D26" s="406"/>
      <c r="E26" s="406"/>
      <c r="F26" s="406">
        <v>1</v>
      </c>
      <c r="G26" s="406">
        <v>39</v>
      </c>
      <c r="H26" s="406">
        <v>172</v>
      </c>
      <c r="I26" s="406">
        <v>322</v>
      </c>
      <c r="J26" s="543">
        <v>519</v>
      </c>
      <c r="K26" s="492">
        <v>1053</v>
      </c>
      <c r="L26" s="634">
        <f t="shared" si="0"/>
        <v>1</v>
      </c>
      <c r="N26" s="492" t="s">
        <v>256</v>
      </c>
      <c r="O26" s="497"/>
      <c r="P26" s="406"/>
      <c r="Q26" s="406"/>
      <c r="R26" s="406">
        <v>85</v>
      </c>
      <c r="S26" s="406">
        <v>165</v>
      </c>
      <c r="T26" s="406">
        <v>357</v>
      </c>
      <c r="U26" s="406">
        <v>238</v>
      </c>
      <c r="V26" s="543">
        <v>311</v>
      </c>
      <c r="W26" s="492">
        <v>1156</v>
      </c>
      <c r="X26" s="634">
        <f t="shared" si="1"/>
        <v>85</v>
      </c>
      <c r="Z26" s="549" t="s">
        <v>74</v>
      </c>
      <c r="AA26" s="557">
        <v>13</v>
      </c>
      <c r="AB26" s="551">
        <v>92</v>
      </c>
      <c r="AC26" s="551">
        <v>160</v>
      </c>
      <c r="AD26" s="551">
        <v>347</v>
      </c>
      <c r="AE26" s="552">
        <v>498</v>
      </c>
      <c r="AF26" s="549">
        <v>1110</v>
      </c>
      <c r="AG26" s="634">
        <f t="shared" si="2"/>
        <v>13</v>
      </c>
      <c r="AI26" s="744" t="s">
        <v>74</v>
      </c>
      <c r="AJ26" s="550"/>
      <c r="AK26" s="551">
        <v>1</v>
      </c>
      <c r="AL26" s="551">
        <v>25</v>
      </c>
      <c r="AM26" s="551">
        <v>32</v>
      </c>
      <c r="AN26" s="564">
        <v>17</v>
      </c>
      <c r="AO26" s="549">
        <v>75</v>
      </c>
      <c r="AR26" s="746" t="s">
        <v>205</v>
      </c>
      <c r="AS26" s="79"/>
      <c r="AT26" s="406"/>
      <c r="AU26" s="406">
        <v>1</v>
      </c>
      <c r="AV26" s="406">
        <v>1</v>
      </c>
      <c r="AW26" s="406">
        <v>26</v>
      </c>
      <c r="AX26" s="407">
        <v>33</v>
      </c>
      <c r="AY26" s="566">
        <v>61</v>
      </c>
      <c r="AZ26" s="634">
        <f t="shared" si="6"/>
        <v>0</v>
      </c>
    </row>
    <row r="27" spans="2:52" ht="16.5" thickTop="1" thickBot="1" x14ac:dyDescent="0.3">
      <c r="B27" s="400" t="s">
        <v>258</v>
      </c>
      <c r="C27" s="79"/>
      <c r="D27" s="406"/>
      <c r="E27" s="406"/>
      <c r="F27" s="406"/>
      <c r="G27" s="406">
        <v>2</v>
      </c>
      <c r="H27" s="406">
        <v>20</v>
      </c>
      <c r="I27" s="406">
        <v>17</v>
      </c>
      <c r="J27" s="543">
        <v>168</v>
      </c>
      <c r="K27" s="492">
        <v>207</v>
      </c>
      <c r="L27" s="634">
        <f t="shared" si="0"/>
        <v>0</v>
      </c>
      <c r="N27" s="493" t="s">
        <v>257</v>
      </c>
      <c r="O27" s="498"/>
      <c r="P27" s="409"/>
      <c r="Q27" s="409"/>
      <c r="R27" s="409"/>
      <c r="S27" s="409">
        <v>4</v>
      </c>
      <c r="T27" s="409">
        <v>14</v>
      </c>
      <c r="U27" s="409">
        <v>20</v>
      </c>
      <c r="V27" s="544">
        <v>90</v>
      </c>
      <c r="W27" s="493">
        <v>128</v>
      </c>
      <c r="X27" s="634">
        <f t="shared" si="1"/>
        <v>0</v>
      </c>
      <c r="AG27" s="634">
        <f t="shared" si="2"/>
        <v>0</v>
      </c>
      <c r="AR27" s="746" t="s">
        <v>197</v>
      </c>
      <c r="AS27" s="79"/>
      <c r="AT27" s="406"/>
      <c r="AU27" s="406">
        <v>3</v>
      </c>
      <c r="AV27" s="406"/>
      <c r="AW27" s="406"/>
      <c r="AX27" s="407">
        <v>55</v>
      </c>
      <c r="AY27" s="566">
        <v>58</v>
      </c>
      <c r="AZ27" s="634">
        <f t="shared" si="6"/>
        <v>0</v>
      </c>
    </row>
    <row r="28" spans="2:52" ht="16.5" thickTop="1" thickBot="1" x14ac:dyDescent="0.3">
      <c r="B28" s="400" t="s">
        <v>259</v>
      </c>
      <c r="C28" s="79"/>
      <c r="D28" s="406"/>
      <c r="E28" s="406"/>
      <c r="F28" s="406"/>
      <c r="G28" s="406"/>
      <c r="H28" s="406"/>
      <c r="I28" s="406">
        <v>11</v>
      </c>
      <c r="J28" s="543"/>
      <c r="K28" s="492">
        <v>11</v>
      </c>
      <c r="L28" s="634">
        <f t="shared" si="0"/>
        <v>0</v>
      </c>
      <c r="N28" s="549" t="s">
        <v>212</v>
      </c>
      <c r="O28" s="557"/>
      <c r="P28" s="551"/>
      <c r="Q28" s="551"/>
      <c r="R28" s="551">
        <v>14</v>
      </c>
      <c r="S28" s="551">
        <v>58</v>
      </c>
      <c r="T28" s="551">
        <v>138</v>
      </c>
      <c r="U28" s="551">
        <v>884</v>
      </c>
      <c r="V28" s="552">
        <v>1980</v>
      </c>
      <c r="W28" s="549">
        <v>3074</v>
      </c>
      <c r="X28" s="634">
        <f t="shared" si="1"/>
        <v>14</v>
      </c>
      <c r="AR28" s="746" t="s">
        <v>196</v>
      </c>
      <c r="AS28" s="79"/>
      <c r="AT28" s="406"/>
      <c r="AU28" s="406"/>
      <c r="AV28" s="406"/>
      <c r="AW28" s="406">
        <v>22</v>
      </c>
      <c r="AX28" s="407">
        <v>21</v>
      </c>
      <c r="AY28" s="566">
        <v>43</v>
      </c>
      <c r="AZ28" s="634">
        <f t="shared" si="6"/>
        <v>0</v>
      </c>
    </row>
    <row r="29" spans="2:52" ht="19.5" customHeight="1" thickTop="1" thickBot="1" x14ac:dyDescent="0.3">
      <c r="B29" s="400" t="s">
        <v>360</v>
      </c>
      <c r="C29" s="408"/>
      <c r="D29" s="409"/>
      <c r="E29" s="409"/>
      <c r="F29" s="409"/>
      <c r="G29" s="409"/>
      <c r="H29" s="409">
        <v>1</v>
      </c>
      <c r="I29" s="409">
        <v>1</v>
      </c>
      <c r="J29" s="544">
        <v>5</v>
      </c>
      <c r="K29" s="493">
        <v>7</v>
      </c>
      <c r="L29" s="634">
        <f t="shared" si="0"/>
        <v>0</v>
      </c>
      <c r="N29" s="494" t="s">
        <v>254</v>
      </c>
      <c r="O29" s="500"/>
      <c r="P29" s="415"/>
      <c r="Q29" s="415"/>
      <c r="R29" s="415">
        <v>13</v>
      </c>
      <c r="S29" s="415">
        <v>11</v>
      </c>
      <c r="T29" s="415">
        <v>28</v>
      </c>
      <c r="U29" s="415">
        <v>322</v>
      </c>
      <c r="V29" s="542">
        <v>454</v>
      </c>
      <c r="W29" s="494">
        <v>828</v>
      </c>
      <c r="X29" s="634">
        <f t="shared" si="1"/>
        <v>13</v>
      </c>
      <c r="AR29" s="746" t="s">
        <v>202</v>
      </c>
      <c r="AS29" s="79"/>
      <c r="AT29" s="406"/>
      <c r="AU29" s="406"/>
      <c r="AV29" s="406">
        <v>28</v>
      </c>
      <c r="AW29" s="406"/>
      <c r="AX29" s="407"/>
      <c r="AY29" s="566">
        <v>28</v>
      </c>
      <c r="AZ29" s="634">
        <f t="shared" si="6"/>
        <v>0</v>
      </c>
    </row>
    <row r="30" spans="2:52" ht="16.5" thickTop="1" thickBot="1" x14ac:dyDescent="0.3">
      <c r="B30" s="549" t="s">
        <v>213</v>
      </c>
      <c r="C30" s="550"/>
      <c r="D30" s="551"/>
      <c r="E30" s="551"/>
      <c r="F30" s="551">
        <v>43</v>
      </c>
      <c r="G30" s="551">
        <v>123</v>
      </c>
      <c r="H30" s="551">
        <v>264</v>
      </c>
      <c r="I30" s="551">
        <v>641</v>
      </c>
      <c r="J30" s="552">
        <v>740</v>
      </c>
      <c r="K30" s="549">
        <v>1811</v>
      </c>
      <c r="L30" s="634">
        <f t="shared" si="0"/>
        <v>43</v>
      </c>
      <c r="N30" s="492" t="s">
        <v>253</v>
      </c>
      <c r="O30" s="497"/>
      <c r="P30" s="406"/>
      <c r="Q30" s="406"/>
      <c r="R30" s="406"/>
      <c r="S30" s="406">
        <v>5</v>
      </c>
      <c r="T30" s="406">
        <v>6</v>
      </c>
      <c r="U30" s="406">
        <v>110</v>
      </c>
      <c r="V30" s="543">
        <v>627</v>
      </c>
      <c r="W30" s="492">
        <v>748</v>
      </c>
      <c r="X30" s="634">
        <f t="shared" si="1"/>
        <v>0</v>
      </c>
      <c r="AR30" s="746" t="s">
        <v>199</v>
      </c>
      <c r="AS30" s="79"/>
      <c r="AT30" s="406"/>
      <c r="AU30" s="406"/>
      <c r="AV30" s="406">
        <v>7</v>
      </c>
      <c r="AW30" s="406"/>
      <c r="AX30" s="407"/>
      <c r="AY30" s="566">
        <v>7</v>
      </c>
      <c r="AZ30" s="634">
        <f t="shared" si="6"/>
        <v>0</v>
      </c>
    </row>
    <row r="31" spans="2:52" ht="16.5" thickTop="1" thickBot="1" x14ac:dyDescent="0.3">
      <c r="B31" s="400" t="s">
        <v>253</v>
      </c>
      <c r="C31" s="414"/>
      <c r="D31" s="415"/>
      <c r="E31" s="415"/>
      <c r="F31" s="415">
        <v>1</v>
      </c>
      <c r="G31" s="415">
        <v>64</v>
      </c>
      <c r="H31" s="415">
        <v>127</v>
      </c>
      <c r="I31" s="415">
        <v>414</v>
      </c>
      <c r="J31" s="542">
        <v>390</v>
      </c>
      <c r="K31" s="494">
        <v>996</v>
      </c>
      <c r="L31" s="634">
        <f t="shared" si="0"/>
        <v>1</v>
      </c>
      <c r="N31" s="492" t="s">
        <v>256</v>
      </c>
      <c r="O31" s="497"/>
      <c r="P31" s="406"/>
      <c r="Q31" s="406"/>
      <c r="R31" s="406">
        <v>1</v>
      </c>
      <c r="S31" s="406">
        <v>18</v>
      </c>
      <c r="T31" s="406">
        <v>25</v>
      </c>
      <c r="U31" s="406">
        <v>182</v>
      </c>
      <c r="V31" s="543">
        <v>467</v>
      </c>
      <c r="W31" s="492">
        <v>693</v>
      </c>
      <c r="X31" s="634">
        <f t="shared" si="1"/>
        <v>1</v>
      </c>
      <c r="AR31" s="747" t="s">
        <v>200</v>
      </c>
      <c r="AS31" s="408"/>
      <c r="AT31" s="409"/>
      <c r="AU31" s="409"/>
      <c r="AV31" s="409"/>
      <c r="AW31" s="409">
        <v>1</v>
      </c>
      <c r="AX31" s="410"/>
      <c r="AY31" s="567">
        <v>1</v>
      </c>
      <c r="AZ31" s="634">
        <f t="shared" si="6"/>
        <v>0</v>
      </c>
    </row>
    <row r="32" spans="2:52" ht="16.5" thickTop="1" thickBot="1" x14ac:dyDescent="0.3">
      <c r="B32" s="400" t="s">
        <v>254</v>
      </c>
      <c r="C32" s="79"/>
      <c r="D32" s="406"/>
      <c r="E32" s="406"/>
      <c r="F32" s="406">
        <v>33</v>
      </c>
      <c r="G32" s="406">
        <v>57</v>
      </c>
      <c r="H32" s="406">
        <v>136</v>
      </c>
      <c r="I32" s="406">
        <v>227</v>
      </c>
      <c r="J32" s="543">
        <v>350</v>
      </c>
      <c r="K32" s="492">
        <v>803</v>
      </c>
      <c r="L32" s="634">
        <f t="shared" si="0"/>
        <v>33</v>
      </c>
      <c r="N32" s="492" t="s">
        <v>257</v>
      </c>
      <c r="O32" s="497"/>
      <c r="P32" s="406"/>
      <c r="Q32" s="406"/>
      <c r="R32" s="406"/>
      <c r="S32" s="406">
        <v>13</v>
      </c>
      <c r="T32" s="406">
        <v>60</v>
      </c>
      <c r="U32" s="406">
        <v>142</v>
      </c>
      <c r="V32" s="543">
        <v>180</v>
      </c>
      <c r="W32" s="492">
        <v>395</v>
      </c>
      <c r="X32" s="634">
        <f t="shared" si="1"/>
        <v>0</v>
      </c>
      <c r="AR32" s="744" t="s">
        <v>254</v>
      </c>
      <c r="AS32" s="550"/>
      <c r="AT32" s="551">
        <v>33</v>
      </c>
      <c r="AU32" s="551">
        <v>57</v>
      </c>
      <c r="AV32" s="551">
        <v>136</v>
      </c>
      <c r="AW32" s="551">
        <v>227</v>
      </c>
      <c r="AX32" s="564">
        <v>350</v>
      </c>
      <c r="AY32" s="568">
        <v>803</v>
      </c>
      <c r="AZ32" s="634">
        <f t="shared" si="6"/>
        <v>33</v>
      </c>
    </row>
    <row r="33" spans="2:52" ht="15.75" thickTop="1" x14ac:dyDescent="0.25">
      <c r="B33" s="400" t="s">
        <v>255</v>
      </c>
      <c r="C33" s="79"/>
      <c r="D33" s="406"/>
      <c r="E33" s="406"/>
      <c r="F33" s="406">
        <v>3</v>
      </c>
      <c r="G33" s="406">
        <v>2</v>
      </c>
      <c r="H33" s="406">
        <v>1</v>
      </c>
      <c r="I33" s="406"/>
      <c r="J33" s="543"/>
      <c r="K33" s="492">
        <v>6</v>
      </c>
      <c r="L33" s="634">
        <f t="shared" si="0"/>
        <v>3</v>
      </c>
      <c r="N33" s="492" t="s">
        <v>255</v>
      </c>
      <c r="O33" s="497"/>
      <c r="P33" s="406"/>
      <c r="Q33" s="406"/>
      <c r="R33" s="406"/>
      <c r="S33" s="406">
        <v>9</v>
      </c>
      <c r="T33" s="406">
        <v>16</v>
      </c>
      <c r="U33" s="406">
        <v>105</v>
      </c>
      <c r="V33" s="543">
        <v>215</v>
      </c>
      <c r="W33" s="492">
        <v>345</v>
      </c>
      <c r="X33" s="634">
        <f t="shared" si="1"/>
        <v>0</v>
      </c>
      <c r="AR33" s="745" t="s">
        <v>196</v>
      </c>
      <c r="AS33" s="414"/>
      <c r="AT33" s="415">
        <v>20</v>
      </c>
      <c r="AU33" s="415">
        <v>13</v>
      </c>
      <c r="AV33" s="415">
        <v>19</v>
      </c>
      <c r="AW33" s="415">
        <v>58</v>
      </c>
      <c r="AX33" s="416">
        <v>141</v>
      </c>
      <c r="AY33" s="565">
        <v>251</v>
      </c>
      <c r="AZ33" s="634">
        <f t="shared" si="6"/>
        <v>20</v>
      </c>
    </row>
    <row r="34" spans="2:52" ht="15.75" thickBot="1" x14ac:dyDescent="0.3">
      <c r="B34" s="400" t="s">
        <v>257</v>
      </c>
      <c r="C34" s="408"/>
      <c r="D34" s="409"/>
      <c r="E34" s="409"/>
      <c r="F34" s="409">
        <v>6</v>
      </c>
      <c r="G34" s="409"/>
      <c r="H34" s="409"/>
      <c r="I34" s="409"/>
      <c r="J34" s="544"/>
      <c r="K34" s="493">
        <v>6</v>
      </c>
      <c r="L34" s="634">
        <f t="shared" si="0"/>
        <v>6</v>
      </c>
      <c r="N34" s="492" t="s">
        <v>258</v>
      </c>
      <c r="O34" s="497"/>
      <c r="P34" s="406"/>
      <c r="Q34" s="406"/>
      <c r="R34" s="406"/>
      <c r="S34" s="406">
        <v>2</v>
      </c>
      <c r="T34" s="406">
        <v>2</v>
      </c>
      <c r="U34" s="406">
        <v>12</v>
      </c>
      <c r="V34" s="543">
        <v>34</v>
      </c>
      <c r="W34" s="492">
        <v>50</v>
      </c>
      <c r="X34" s="634">
        <f t="shared" si="1"/>
        <v>0</v>
      </c>
      <c r="AR34" s="746" t="s">
        <v>198</v>
      </c>
      <c r="AS34" s="79"/>
      <c r="AT34" s="406">
        <v>1</v>
      </c>
      <c r="AU34" s="406">
        <v>17</v>
      </c>
      <c r="AV34" s="406">
        <v>20</v>
      </c>
      <c r="AW34" s="406">
        <v>41</v>
      </c>
      <c r="AX34" s="407">
        <v>29</v>
      </c>
      <c r="AY34" s="566">
        <v>108</v>
      </c>
      <c r="AZ34" s="634">
        <f t="shared" si="6"/>
        <v>1</v>
      </c>
    </row>
    <row r="35" spans="2:52" ht="16.5" thickTop="1" thickBot="1" x14ac:dyDescent="0.3">
      <c r="B35" s="549" t="s">
        <v>214</v>
      </c>
      <c r="C35" s="550"/>
      <c r="D35" s="551"/>
      <c r="E35" s="551"/>
      <c r="F35" s="551">
        <v>13</v>
      </c>
      <c r="G35" s="551">
        <v>92</v>
      </c>
      <c r="H35" s="551">
        <v>160</v>
      </c>
      <c r="I35" s="551">
        <v>347</v>
      </c>
      <c r="J35" s="552">
        <v>498</v>
      </c>
      <c r="K35" s="549">
        <v>1110</v>
      </c>
      <c r="L35" s="634">
        <f t="shared" si="0"/>
        <v>13</v>
      </c>
      <c r="N35" s="492" t="s">
        <v>259</v>
      </c>
      <c r="O35" s="497"/>
      <c r="P35" s="406"/>
      <c r="Q35" s="406"/>
      <c r="R35" s="406"/>
      <c r="S35" s="406"/>
      <c r="T35" s="406"/>
      <c r="U35" s="406">
        <v>11</v>
      </c>
      <c r="V35" s="543"/>
      <c r="W35" s="492">
        <v>11</v>
      </c>
      <c r="X35" s="634">
        <f t="shared" si="1"/>
        <v>0</v>
      </c>
      <c r="AR35" s="746" t="s">
        <v>201</v>
      </c>
      <c r="AS35" s="79"/>
      <c r="AT35" s="406"/>
      <c r="AU35" s="406">
        <v>8</v>
      </c>
      <c r="AV35" s="406">
        <v>30</v>
      </c>
      <c r="AW35" s="406">
        <v>59</v>
      </c>
      <c r="AX35" s="407">
        <v>10</v>
      </c>
      <c r="AY35" s="566">
        <v>107</v>
      </c>
      <c r="AZ35" s="634">
        <f t="shared" si="6"/>
        <v>0</v>
      </c>
    </row>
    <row r="36" spans="2:52" ht="16.5" thickTop="1" thickBot="1" x14ac:dyDescent="0.3">
      <c r="B36" s="400" t="s">
        <v>253</v>
      </c>
      <c r="C36" s="414"/>
      <c r="D36" s="415"/>
      <c r="E36" s="415"/>
      <c r="F36" s="415">
        <v>7</v>
      </c>
      <c r="G36" s="415">
        <v>92</v>
      </c>
      <c r="H36" s="415">
        <v>141</v>
      </c>
      <c r="I36" s="415">
        <v>187</v>
      </c>
      <c r="J36" s="542">
        <v>348</v>
      </c>
      <c r="K36" s="494">
        <v>775</v>
      </c>
      <c r="L36" s="634">
        <f t="shared" si="0"/>
        <v>7</v>
      </c>
      <c r="N36" s="493" t="s">
        <v>360</v>
      </c>
      <c r="O36" s="498"/>
      <c r="P36" s="409"/>
      <c r="Q36" s="409"/>
      <c r="R36" s="409"/>
      <c r="S36" s="409"/>
      <c r="T36" s="409">
        <v>1</v>
      </c>
      <c r="U36" s="409"/>
      <c r="V36" s="544">
        <v>3</v>
      </c>
      <c r="W36" s="493">
        <v>4</v>
      </c>
      <c r="X36" s="634">
        <f t="shared" si="1"/>
        <v>0</v>
      </c>
      <c r="AR36" s="746" t="s">
        <v>197</v>
      </c>
      <c r="AS36" s="79"/>
      <c r="AT36" s="406"/>
      <c r="AU36" s="406"/>
      <c r="AV36" s="406"/>
      <c r="AW36" s="406"/>
      <c r="AX36" s="407">
        <v>103</v>
      </c>
      <c r="AY36" s="566">
        <v>103</v>
      </c>
      <c r="AZ36" s="634">
        <f t="shared" si="6"/>
        <v>0</v>
      </c>
    </row>
    <row r="37" spans="2:52" ht="16.5" thickTop="1" thickBot="1" x14ac:dyDescent="0.3">
      <c r="B37" s="400" t="s">
        <v>255</v>
      </c>
      <c r="C37" s="79"/>
      <c r="D37" s="406"/>
      <c r="E37" s="406"/>
      <c r="F37" s="406">
        <v>6</v>
      </c>
      <c r="G37" s="406"/>
      <c r="H37" s="406">
        <v>19</v>
      </c>
      <c r="I37" s="406">
        <v>160</v>
      </c>
      <c r="J37" s="543">
        <v>128</v>
      </c>
      <c r="K37" s="492">
        <v>313</v>
      </c>
      <c r="L37" s="634">
        <f t="shared" si="0"/>
        <v>6</v>
      </c>
      <c r="N37" s="549" t="s">
        <v>215</v>
      </c>
      <c r="O37" s="557">
        <v>1</v>
      </c>
      <c r="P37" s="551"/>
      <c r="Q37" s="551"/>
      <c r="R37" s="551">
        <v>16</v>
      </c>
      <c r="S37" s="551">
        <v>151</v>
      </c>
      <c r="T37" s="551">
        <v>505</v>
      </c>
      <c r="U37" s="551">
        <v>684</v>
      </c>
      <c r="V37" s="552">
        <v>1224</v>
      </c>
      <c r="W37" s="549">
        <v>2581</v>
      </c>
      <c r="X37" s="634">
        <f t="shared" si="1"/>
        <v>17</v>
      </c>
      <c r="AR37" s="746" t="s">
        <v>200</v>
      </c>
      <c r="AS37" s="79"/>
      <c r="AT37" s="406"/>
      <c r="AU37" s="406"/>
      <c r="AV37" s="406">
        <v>13</v>
      </c>
      <c r="AW37" s="406">
        <v>15</v>
      </c>
      <c r="AX37" s="407">
        <v>37</v>
      </c>
      <c r="AY37" s="566">
        <v>65</v>
      </c>
      <c r="AZ37" s="634">
        <f t="shared" si="6"/>
        <v>0</v>
      </c>
    </row>
    <row r="38" spans="2:52" ht="16.5" thickTop="1" thickBot="1" x14ac:dyDescent="0.3">
      <c r="B38" s="400" t="s">
        <v>254</v>
      </c>
      <c r="C38" s="408"/>
      <c r="D38" s="409"/>
      <c r="E38" s="409"/>
      <c r="F38" s="409"/>
      <c r="G38" s="409"/>
      <c r="H38" s="409"/>
      <c r="I38" s="409"/>
      <c r="J38" s="544">
        <v>22</v>
      </c>
      <c r="K38" s="493">
        <v>22</v>
      </c>
      <c r="L38" s="634">
        <f t="shared" si="0"/>
        <v>0</v>
      </c>
      <c r="N38" s="494" t="s">
        <v>254</v>
      </c>
      <c r="O38" s="500">
        <v>1</v>
      </c>
      <c r="P38" s="415"/>
      <c r="Q38" s="415"/>
      <c r="R38" s="415">
        <v>11</v>
      </c>
      <c r="S38" s="415">
        <v>49</v>
      </c>
      <c r="T38" s="415">
        <v>239</v>
      </c>
      <c r="U38" s="415">
        <v>337</v>
      </c>
      <c r="V38" s="542">
        <v>435</v>
      </c>
      <c r="W38" s="494">
        <v>1072</v>
      </c>
      <c r="X38" s="634">
        <f t="shared" si="1"/>
        <v>12</v>
      </c>
      <c r="AR38" s="746" t="s">
        <v>205</v>
      </c>
      <c r="AS38" s="79"/>
      <c r="AT38" s="406"/>
      <c r="AU38" s="406">
        <v>5</v>
      </c>
      <c r="AV38" s="406">
        <v>29</v>
      </c>
      <c r="AW38" s="406">
        <v>21</v>
      </c>
      <c r="AX38" s="407">
        <v>1</v>
      </c>
      <c r="AY38" s="566">
        <v>56</v>
      </c>
      <c r="AZ38" s="634">
        <f t="shared" si="6"/>
        <v>0</v>
      </c>
    </row>
    <row r="39" spans="2:52" ht="16.5" thickTop="1" thickBot="1" x14ac:dyDescent="0.3">
      <c r="B39" s="549" t="s">
        <v>216</v>
      </c>
      <c r="C39" s="550"/>
      <c r="D39" s="551"/>
      <c r="E39" s="551"/>
      <c r="F39" s="551"/>
      <c r="G39" s="551">
        <v>1</v>
      </c>
      <c r="H39" s="551">
        <v>25</v>
      </c>
      <c r="I39" s="551">
        <v>32</v>
      </c>
      <c r="J39" s="552">
        <v>17</v>
      </c>
      <c r="K39" s="549">
        <v>75</v>
      </c>
      <c r="L39" s="634">
        <f t="shared" si="0"/>
        <v>0</v>
      </c>
      <c r="N39" s="492" t="s">
        <v>257</v>
      </c>
      <c r="O39" s="497"/>
      <c r="P39" s="406"/>
      <c r="Q39" s="406"/>
      <c r="R39" s="406">
        <v>1</v>
      </c>
      <c r="S39" s="406">
        <v>22</v>
      </c>
      <c r="T39" s="406">
        <v>98</v>
      </c>
      <c r="U39" s="406">
        <v>160</v>
      </c>
      <c r="V39" s="543">
        <v>249</v>
      </c>
      <c r="W39" s="492">
        <v>530</v>
      </c>
      <c r="X39" s="634">
        <f t="shared" si="1"/>
        <v>1</v>
      </c>
      <c r="AR39" s="746" t="s">
        <v>209</v>
      </c>
      <c r="AS39" s="79"/>
      <c r="AT39" s="406"/>
      <c r="AU39" s="406">
        <v>4</v>
      </c>
      <c r="AV39" s="406">
        <v>11</v>
      </c>
      <c r="AW39" s="406">
        <v>18</v>
      </c>
      <c r="AX39" s="407">
        <v>6</v>
      </c>
      <c r="AY39" s="566">
        <v>39</v>
      </c>
      <c r="AZ39" s="634">
        <f t="shared" si="6"/>
        <v>0</v>
      </c>
    </row>
    <row r="40" spans="2:52" ht="15.75" thickTop="1" x14ac:dyDescent="0.25">
      <c r="B40" s="400" t="s">
        <v>254</v>
      </c>
      <c r="C40" s="414"/>
      <c r="D40" s="415"/>
      <c r="E40" s="415"/>
      <c r="F40" s="415"/>
      <c r="G40" s="415">
        <v>1</v>
      </c>
      <c r="H40" s="415">
        <v>25</v>
      </c>
      <c r="I40" s="415">
        <v>31</v>
      </c>
      <c r="J40" s="542">
        <v>17</v>
      </c>
      <c r="K40" s="494">
        <v>74</v>
      </c>
      <c r="L40" s="634">
        <f t="shared" si="0"/>
        <v>0</v>
      </c>
      <c r="N40" s="492" t="s">
        <v>255</v>
      </c>
      <c r="O40" s="497"/>
      <c r="P40" s="406"/>
      <c r="Q40" s="406"/>
      <c r="R40" s="406">
        <v>4</v>
      </c>
      <c r="S40" s="406">
        <v>75</v>
      </c>
      <c r="T40" s="406">
        <v>140</v>
      </c>
      <c r="U40" s="406">
        <v>136</v>
      </c>
      <c r="V40" s="543">
        <v>161</v>
      </c>
      <c r="W40" s="492">
        <v>516</v>
      </c>
      <c r="X40" s="634">
        <f t="shared" si="1"/>
        <v>4</v>
      </c>
      <c r="AR40" s="746" t="s">
        <v>199</v>
      </c>
      <c r="AS40" s="79"/>
      <c r="AT40" s="406"/>
      <c r="AU40" s="406">
        <v>2</v>
      </c>
      <c r="AV40" s="406">
        <v>8</v>
      </c>
      <c r="AW40" s="406">
        <v>7</v>
      </c>
      <c r="AX40" s="407">
        <v>19</v>
      </c>
      <c r="AY40" s="566">
        <v>36</v>
      </c>
      <c r="AZ40" s="634">
        <f t="shared" si="6"/>
        <v>0</v>
      </c>
    </row>
    <row r="41" spans="2:52" ht="15.75" thickBot="1" x14ac:dyDescent="0.3">
      <c r="B41" s="400" t="s">
        <v>253</v>
      </c>
      <c r="C41" s="408"/>
      <c r="D41" s="409"/>
      <c r="E41" s="409"/>
      <c r="F41" s="409"/>
      <c r="G41" s="409"/>
      <c r="H41" s="409"/>
      <c r="I41" s="409">
        <v>1</v>
      </c>
      <c r="J41" s="544"/>
      <c r="K41" s="493">
        <v>1</v>
      </c>
      <c r="L41" s="634">
        <f t="shared" si="0"/>
        <v>0</v>
      </c>
      <c r="N41" s="492" t="s">
        <v>253</v>
      </c>
      <c r="O41" s="497"/>
      <c r="P41" s="406"/>
      <c r="Q41" s="406"/>
      <c r="R41" s="406"/>
      <c r="S41" s="406">
        <v>2</v>
      </c>
      <c r="T41" s="406">
        <v>3</v>
      </c>
      <c r="U41" s="406">
        <v>27</v>
      </c>
      <c r="V41" s="543">
        <v>186</v>
      </c>
      <c r="W41" s="492">
        <v>218</v>
      </c>
      <c r="X41" s="634">
        <f t="shared" si="1"/>
        <v>0</v>
      </c>
      <c r="AR41" s="746" t="s">
        <v>206</v>
      </c>
      <c r="AS41" s="79"/>
      <c r="AT41" s="406"/>
      <c r="AU41" s="406">
        <v>5</v>
      </c>
      <c r="AV41" s="406">
        <v>1</v>
      </c>
      <c r="AW41" s="406">
        <v>8</v>
      </c>
      <c r="AX41" s="407"/>
      <c r="AY41" s="566">
        <v>14</v>
      </c>
      <c r="AZ41" s="634">
        <f t="shared" si="6"/>
        <v>0</v>
      </c>
    </row>
    <row r="42" spans="2:52" ht="16.5" thickTop="1" thickBot="1" x14ac:dyDescent="0.3">
      <c r="B42" s="549" t="s">
        <v>386</v>
      </c>
      <c r="C42" s="550">
        <v>1</v>
      </c>
      <c r="D42" s="551"/>
      <c r="E42" s="551"/>
      <c r="F42" s="551">
        <v>228</v>
      </c>
      <c r="G42" s="551">
        <v>1617</v>
      </c>
      <c r="H42" s="551">
        <v>3314</v>
      </c>
      <c r="I42" s="551">
        <v>4869</v>
      </c>
      <c r="J42" s="552">
        <v>7135</v>
      </c>
      <c r="K42" s="549">
        <v>17164</v>
      </c>
      <c r="L42" s="634">
        <f t="shared" si="0"/>
        <v>229</v>
      </c>
      <c r="N42" s="492" t="s">
        <v>258</v>
      </c>
      <c r="O42" s="497"/>
      <c r="P42" s="406"/>
      <c r="Q42" s="406"/>
      <c r="R42" s="406"/>
      <c r="S42" s="406"/>
      <c r="T42" s="406">
        <v>18</v>
      </c>
      <c r="U42" s="406">
        <v>5</v>
      </c>
      <c r="V42" s="543">
        <v>134</v>
      </c>
      <c r="W42" s="492">
        <v>157</v>
      </c>
      <c r="X42" s="634">
        <f t="shared" si="1"/>
        <v>0</v>
      </c>
      <c r="AR42" s="746" t="s">
        <v>203</v>
      </c>
      <c r="AS42" s="79"/>
      <c r="AT42" s="406">
        <v>10</v>
      </c>
      <c r="AU42" s="406">
        <v>1</v>
      </c>
      <c r="AV42" s="406">
        <v>1</v>
      </c>
      <c r="AW42" s="406"/>
      <c r="AX42" s="407"/>
      <c r="AY42" s="566">
        <v>12</v>
      </c>
      <c r="AZ42" s="634">
        <f t="shared" si="6"/>
        <v>10</v>
      </c>
    </row>
    <row r="43" spans="2:52" ht="15.75" thickTop="1" x14ac:dyDescent="0.25">
      <c r="N43" s="492" t="s">
        <v>256</v>
      </c>
      <c r="O43" s="497"/>
      <c r="P43" s="406"/>
      <c r="Q43" s="406"/>
      <c r="R43" s="406"/>
      <c r="S43" s="406">
        <v>3</v>
      </c>
      <c r="T43" s="406">
        <v>7</v>
      </c>
      <c r="U43" s="406">
        <v>18</v>
      </c>
      <c r="V43" s="543">
        <v>57</v>
      </c>
      <c r="W43" s="492">
        <v>85</v>
      </c>
      <c r="X43" s="634">
        <f t="shared" si="1"/>
        <v>0</v>
      </c>
      <c r="AR43" s="746" t="s">
        <v>208</v>
      </c>
      <c r="AS43" s="79"/>
      <c r="AT43" s="406">
        <v>2</v>
      </c>
      <c r="AU43" s="406">
        <v>2</v>
      </c>
      <c r="AV43" s="406">
        <v>4</v>
      </c>
      <c r="AW43" s="406"/>
      <c r="AX43" s="407"/>
      <c r="AY43" s="566">
        <v>8</v>
      </c>
      <c r="AZ43" s="634">
        <f t="shared" si="6"/>
        <v>2</v>
      </c>
    </row>
    <row r="44" spans="2:52" ht="15.75" thickBot="1" x14ac:dyDescent="0.3">
      <c r="N44" s="493" t="s">
        <v>360</v>
      </c>
      <c r="O44" s="498"/>
      <c r="P44" s="409"/>
      <c r="Q44" s="409"/>
      <c r="R44" s="409"/>
      <c r="S44" s="409"/>
      <c r="T44" s="409"/>
      <c r="U44" s="409">
        <v>1</v>
      </c>
      <c r="V44" s="544">
        <v>2</v>
      </c>
      <c r="W44" s="493">
        <v>3</v>
      </c>
      <c r="X44" s="634">
        <f t="shared" si="1"/>
        <v>0</v>
      </c>
      <c r="AR44" s="747" t="s">
        <v>387</v>
      </c>
      <c r="AS44" s="408"/>
      <c r="AT44" s="409"/>
      <c r="AU44" s="409"/>
      <c r="AV44" s="409"/>
      <c r="AW44" s="409"/>
      <c r="AX44" s="410">
        <v>4</v>
      </c>
      <c r="AY44" s="567">
        <v>4</v>
      </c>
      <c r="AZ44" s="634">
        <f t="shared" si="6"/>
        <v>0</v>
      </c>
    </row>
    <row r="45" spans="2:52" ht="16.5" thickTop="1" thickBot="1" x14ac:dyDescent="0.3">
      <c r="N45" s="549" t="s">
        <v>74</v>
      </c>
      <c r="O45" s="557">
        <v>1</v>
      </c>
      <c r="P45" s="551"/>
      <c r="Q45" s="551"/>
      <c r="R45" s="551">
        <v>172</v>
      </c>
      <c r="S45" s="551">
        <v>1401</v>
      </c>
      <c r="T45" s="551">
        <v>2865</v>
      </c>
      <c r="U45" s="551">
        <v>3849</v>
      </c>
      <c r="V45" s="552">
        <v>5880</v>
      </c>
      <c r="W45" s="549">
        <v>14168</v>
      </c>
      <c r="X45" s="634">
        <f t="shared" si="1"/>
        <v>173</v>
      </c>
      <c r="AR45" s="744" t="s">
        <v>255</v>
      </c>
      <c r="AS45" s="550"/>
      <c r="AT45" s="551">
        <v>3</v>
      </c>
      <c r="AU45" s="551">
        <v>2</v>
      </c>
      <c r="AV45" s="551">
        <v>1</v>
      </c>
      <c r="AW45" s="551"/>
      <c r="AX45" s="564"/>
      <c r="AY45" s="568">
        <v>6</v>
      </c>
      <c r="AZ45" s="634">
        <f t="shared" si="6"/>
        <v>3</v>
      </c>
    </row>
    <row r="46" spans="2:52" ht="15.75" thickTop="1" x14ac:dyDescent="0.25">
      <c r="AR46" s="745" t="s">
        <v>202</v>
      </c>
      <c r="AS46" s="414"/>
      <c r="AT46" s="415">
        <v>2</v>
      </c>
      <c r="AU46" s="415">
        <v>2</v>
      </c>
      <c r="AV46" s="415"/>
      <c r="AW46" s="415"/>
      <c r="AX46" s="416"/>
      <c r="AY46" s="565">
        <v>4</v>
      </c>
      <c r="AZ46" s="634">
        <f t="shared" si="6"/>
        <v>2</v>
      </c>
    </row>
    <row r="47" spans="2:52" ht="15.75" thickBot="1" x14ac:dyDescent="0.3">
      <c r="AR47" s="747" t="s">
        <v>201</v>
      </c>
      <c r="AS47" s="408"/>
      <c r="AT47" s="409">
        <v>1</v>
      </c>
      <c r="AU47" s="409"/>
      <c r="AV47" s="409">
        <v>1</v>
      </c>
      <c r="AW47" s="409"/>
      <c r="AX47" s="410"/>
      <c r="AY47" s="567">
        <v>2</v>
      </c>
      <c r="AZ47" s="634">
        <f t="shared" si="6"/>
        <v>1</v>
      </c>
    </row>
    <row r="48" spans="2:52" ht="21" customHeight="1" thickTop="1" thickBot="1" x14ac:dyDescent="0.3">
      <c r="AR48" s="744" t="s">
        <v>257</v>
      </c>
      <c r="AS48" s="550"/>
      <c r="AT48" s="551">
        <v>6</v>
      </c>
      <c r="AU48" s="551"/>
      <c r="AV48" s="551"/>
      <c r="AW48" s="551"/>
      <c r="AX48" s="564"/>
      <c r="AY48" s="568">
        <v>6</v>
      </c>
      <c r="AZ48" s="634">
        <f t="shared" si="6"/>
        <v>6</v>
      </c>
    </row>
    <row r="49" spans="2:52" ht="15.75" thickTop="1" x14ac:dyDescent="0.25">
      <c r="AR49" s="745" t="s">
        <v>201</v>
      </c>
      <c r="AS49" s="414"/>
      <c r="AT49" s="415">
        <v>2</v>
      </c>
      <c r="AU49" s="415"/>
      <c r="AV49" s="415"/>
      <c r="AW49" s="415"/>
      <c r="AX49" s="416"/>
      <c r="AY49" s="565">
        <v>2</v>
      </c>
      <c r="AZ49" s="634">
        <f t="shared" si="6"/>
        <v>2</v>
      </c>
    </row>
    <row r="50" spans="2:52" ht="15.75" thickBot="1" x14ac:dyDescent="0.3">
      <c r="AR50" s="746" t="s">
        <v>198</v>
      </c>
      <c r="AS50" s="79"/>
      <c r="AT50" s="406">
        <v>2</v>
      </c>
      <c r="AU50" s="406"/>
      <c r="AV50" s="406"/>
      <c r="AW50" s="406"/>
      <c r="AX50" s="407"/>
      <c r="AY50" s="566">
        <v>2</v>
      </c>
      <c r="AZ50" s="634">
        <f t="shared" si="6"/>
        <v>2</v>
      </c>
    </row>
    <row r="51" spans="2:52" ht="20.25" thickTop="1" thickBot="1" x14ac:dyDescent="0.35">
      <c r="B51" s="846" t="s">
        <v>391</v>
      </c>
      <c r="C51" s="847"/>
      <c r="D51" s="847"/>
      <c r="E51" s="847"/>
      <c r="F51" s="847"/>
      <c r="G51" s="847"/>
      <c r="H51" s="847"/>
      <c r="I51" s="847"/>
      <c r="J51" s="848"/>
      <c r="AR51" s="746" t="s">
        <v>208</v>
      </c>
      <c r="AS51" s="79"/>
      <c r="AT51" s="406">
        <v>1</v>
      </c>
      <c r="AU51" s="406"/>
      <c r="AV51" s="406"/>
      <c r="AW51" s="406"/>
      <c r="AX51" s="407"/>
      <c r="AY51" s="566">
        <v>1</v>
      </c>
      <c r="AZ51" s="634">
        <f t="shared" si="6"/>
        <v>1</v>
      </c>
    </row>
    <row r="52" spans="2:52" ht="16.5" thickTop="1" thickBot="1" x14ac:dyDescent="0.3">
      <c r="AR52" s="747" t="s">
        <v>207</v>
      </c>
      <c r="AS52" s="408"/>
      <c r="AT52" s="409">
        <v>1</v>
      </c>
      <c r="AU52" s="409"/>
      <c r="AV52" s="409"/>
      <c r="AW52" s="409"/>
      <c r="AX52" s="410"/>
      <c r="AY52" s="567">
        <v>1</v>
      </c>
      <c r="AZ52" s="634">
        <f t="shared" si="6"/>
        <v>1</v>
      </c>
    </row>
    <row r="53" spans="2:52" ht="16.5" thickTop="1" thickBot="1" x14ac:dyDescent="0.3">
      <c r="AR53" s="744" t="s">
        <v>74</v>
      </c>
      <c r="AS53" s="550"/>
      <c r="AT53" s="551">
        <v>43</v>
      </c>
      <c r="AU53" s="551">
        <v>123</v>
      </c>
      <c r="AV53" s="551">
        <v>264</v>
      </c>
      <c r="AW53" s="551">
        <v>641</v>
      </c>
      <c r="AX53" s="564">
        <v>740</v>
      </c>
      <c r="AY53" s="568">
        <v>1811</v>
      </c>
      <c r="AZ53" s="634">
        <f t="shared" si="6"/>
        <v>43</v>
      </c>
    </row>
    <row r="54" spans="2:52" ht="15.75" thickTop="1" x14ac:dyDescent="0.25"/>
    <row r="55" spans="2:52" ht="15.75" thickBot="1" x14ac:dyDescent="0.3"/>
    <row r="56" spans="2:52" ht="16.5" thickTop="1" thickBot="1" x14ac:dyDescent="0.3">
      <c r="C56" s="553">
        <v>2011</v>
      </c>
      <c r="D56" s="554">
        <v>2012</v>
      </c>
      <c r="E56" s="554">
        <v>2013</v>
      </c>
      <c r="F56" s="554">
        <v>2014</v>
      </c>
      <c r="G56" s="554">
        <v>2015</v>
      </c>
      <c r="H56" s="554">
        <v>2016</v>
      </c>
      <c r="I56" s="554">
        <v>2017</v>
      </c>
      <c r="J56" s="554">
        <v>2018</v>
      </c>
      <c r="K56" s="573" t="s">
        <v>386</v>
      </c>
    </row>
    <row r="57" spans="2:52" ht="16.5" thickTop="1" thickBot="1" x14ac:dyDescent="0.3">
      <c r="B57" s="558" t="s">
        <v>193</v>
      </c>
      <c r="C57" s="559">
        <v>11</v>
      </c>
      <c r="D57" s="560">
        <v>356</v>
      </c>
      <c r="E57" s="560">
        <v>777</v>
      </c>
      <c r="F57" s="560">
        <v>605</v>
      </c>
      <c r="G57" s="560">
        <v>730</v>
      </c>
      <c r="H57" s="560">
        <v>771</v>
      </c>
      <c r="I57" s="560">
        <v>1165</v>
      </c>
      <c r="J57" s="560">
        <v>1510</v>
      </c>
      <c r="K57" s="563">
        <v>5925</v>
      </c>
    </row>
    <row r="58" spans="2:52" ht="16.5" thickTop="1" thickBot="1" x14ac:dyDescent="0.3">
      <c r="B58" s="549" t="s">
        <v>260</v>
      </c>
      <c r="C58" s="557">
        <v>11</v>
      </c>
      <c r="D58" s="551">
        <v>356</v>
      </c>
      <c r="E58" s="551">
        <v>777</v>
      </c>
      <c r="F58" s="551">
        <v>605</v>
      </c>
      <c r="G58" s="551">
        <v>730</v>
      </c>
      <c r="H58" s="551">
        <v>771</v>
      </c>
      <c r="I58" s="551">
        <v>1165</v>
      </c>
      <c r="J58" s="551">
        <v>1510</v>
      </c>
      <c r="K58" s="564">
        <v>5925</v>
      </c>
    </row>
    <row r="59" spans="2:52" ht="15.75" thickTop="1" x14ac:dyDescent="0.25">
      <c r="B59" s="494" t="s">
        <v>194</v>
      </c>
      <c r="C59" s="500"/>
      <c r="D59" s="415">
        <v>120</v>
      </c>
      <c r="E59" s="415">
        <v>483</v>
      </c>
      <c r="F59" s="415">
        <v>315</v>
      </c>
      <c r="G59" s="415">
        <v>397</v>
      </c>
      <c r="H59" s="415">
        <v>463</v>
      </c>
      <c r="I59" s="415">
        <v>682</v>
      </c>
      <c r="J59" s="415">
        <v>679</v>
      </c>
      <c r="K59" s="416">
        <v>3139</v>
      </c>
    </row>
    <row r="60" spans="2:52" x14ac:dyDescent="0.25">
      <c r="B60" s="492" t="s">
        <v>215</v>
      </c>
      <c r="C60" s="497">
        <v>11</v>
      </c>
      <c r="D60" s="406">
        <v>236</v>
      </c>
      <c r="E60" s="406">
        <v>294</v>
      </c>
      <c r="F60" s="406">
        <v>289</v>
      </c>
      <c r="G60" s="406">
        <v>305</v>
      </c>
      <c r="H60" s="406">
        <v>300</v>
      </c>
      <c r="I60" s="406">
        <v>284</v>
      </c>
      <c r="J60" s="406">
        <v>230</v>
      </c>
      <c r="K60" s="407">
        <v>1949</v>
      </c>
    </row>
    <row r="61" spans="2:52" ht="15.75" thickBot="1" x14ac:dyDescent="0.3">
      <c r="B61" s="493" t="s">
        <v>212</v>
      </c>
      <c r="C61" s="498"/>
      <c r="D61" s="409"/>
      <c r="E61" s="409"/>
      <c r="F61" s="409">
        <v>1</v>
      </c>
      <c r="G61" s="409">
        <v>28</v>
      </c>
      <c r="H61" s="409">
        <v>8</v>
      </c>
      <c r="I61" s="409">
        <v>199</v>
      </c>
      <c r="J61" s="409">
        <v>601</v>
      </c>
      <c r="K61" s="410">
        <v>837</v>
      </c>
    </row>
    <row r="62" spans="2:52" ht="16.5" thickTop="1" thickBot="1" x14ac:dyDescent="0.3">
      <c r="B62" s="549" t="s">
        <v>214</v>
      </c>
      <c r="C62" s="557"/>
      <c r="D62" s="551"/>
      <c r="E62" s="551"/>
      <c r="F62" s="551"/>
      <c r="G62" s="551">
        <v>26</v>
      </c>
      <c r="H62" s="551">
        <v>33</v>
      </c>
      <c r="I62" s="551">
        <v>76</v>
      </c>
      <c r="J62" s="551">
        <v>339</v>
      </c>
      <c r="K62" s="564">
        <v>474</v>
      </c>
    </row>
    <row r="63" spans="2:52" ht="16.5" thickTop="1" thickBot="1" x14ac:dyDescent="0.3">
      <c r="B63" s="549" t="s">
        <v>260</v>
      </c>
      <c r="C63" s="557"/>
      <c r="D63" s="551"/>
      <c r="E63" s="551"/>
      <c r="F63" s="551"/>
      <c r="G63" s="551">
        <v>26</v>
      </c>
      <c r="H63" s="551">
        <v>33</v>
      </c>
      <c r="I63" s="551">
        <v>76</v>
      </c>
      <c r="J63" s="551">
        <v>339</v>
      </c>
      <c r="K63" s="564">
        <v>474</v>
      </c>
    </row>
    <row r="64" spans="2:52" ht="16.5" thickTop="1" thickBot="1" x14ac:dyDescent="0.3">
      <c r="B64" s="400" t="s">
        <v>195</v>
      </c>
      <c r="C64" s="499"/>
      <c r="D64" s="470"/>
      <c r="E64" s="470"/>
      <c r="F64" s="470"/>
      <c r="G64" s="470">
        <v>26</v>
      </c>
      <c r="H64" s="470">
        <v>33</v>
      </c>
      <c r="I64" s="470">
        <v>76</v>
      </c>
      <c r="J64" s="470">
        <v>339</v>
      </c>
      <c r="K64" s="562">
        <v>474</v>
      </c>
    </row>
    <row r="65" spans="2:11" ht="16.5" thickTop="1" thickBot="1" x14ac:dyDescent="0.3">
      <c r="B65" s="549" t="s">
        <v>74</v>
      </c>
      <c r="C65" s="557">
        <v>11</v>
      </c>
      <c r="D65" s="551">
        <v>356</v>
      </c>
      <c r="E65" s="551">
        <v>777</v>
      </c>
      <c r="F65" s="551">
        <v>605</v>
      </c>
      <c r="G65" s="551">
        <v>756</v>
      </c>
      <c r="H65" s="551">
        <v>804</v>
      </c>
      <c r="I65" s="551">
        <v>1241</v>
      </c>
      <c r="J65" s="551">
        <v>1849</v>
      </c>
      <c r="K65" s="564">
        <v>6399</v>
      </c>
    </row>
    <row r="66" spans="2:11" ht="15.75" thickTop="1" x14ac:dyDescent="0.25"/>
  </sheetData>
  <mergeCells count="6">
    <mergeCell ref="AR6:AY6"/>
    <mergeCell ref="B51:J51"/>
    <mergeCell ref="B6:J6"/>
    <mergeCell ref="N6:W6"/>
    <mergeCell ref="Z6:AF6"/>
    <mergeCell ref="AI6:AO6"/>
  </mergeCells>
  <pageMargins left="0.7" right="0.7" top="0.75" bottom="0.75" header="0.3" footer="0.3"/>
  <ignoredErrors>
    <ignoredError sqref="L9 X13:X14 X21:X45 L10:L17 L21:L42 AZ9:AZ1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Introduccion</vt:lpstr>
      <vt:lpstr>1</vt:lpstr>
      <vt:lpstr>1.1</vt:lpstr>
      <vt:lpstr>1.2</vt:lpstr>
      <vt:lpstr>3.1 COMGES</vt:lpstr>
      <vt:lpstr>3.1 TOTAL</vt:lpstr>
      <vt:lpstr>3.2 y Compromiso Ministerial</vt:lpstr>
      <vt:lpstr>3.2 TOTAL</vt:lpstr>
      <vt:lpstr>3.3 COMGES</vt:lpstr>
      <vt:lpstr>3.3 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2018-11-14T13:44:31Z</cp:lastPrinted>
  <dcterms:created xsi:type="dcterms:W3CDTF">2018-05-23T13:10:06Z</dcterms:created>
  <dcterms:modified xsi:type="dcterms:W3CDTF">2018-11-21T11:03:08Z</dcterms:modified>
</cp:coreProperties>
</file>